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0" windowWidth="18915" windowHeight="8205" firstSheet="7" activeTab="10"/>
  </bookViews>
  <sheets>
    <sheet name="Labor Budget" sheetId="1" r:id="rId1"/>
    <sheet name="Labor Budget Funding" sheetId="2" r:id="rId2"/>
    <sheet name="Budget summary with %" sheetId="3" r:id="rId3"/>
    <sheet name="5 phase budget" sheetId="4" r:id="rId4"/>
    <sheet name="Initial Funds Request" sheetId="5" r:id="rId5"/>
    <sheet name="Multifamily Homes Budget.Canaan" sheetId="6" r:id="rId6"/>
    <sheet name="Multifamily Homes Budget.Other" sheetId="7" r:id="rId7"/>
    <sheet name="Total Homes. Population" sheetId="8" r:id="rId8"/>
    <sheet name="Primary.Secondary Pillars" sheetId="9" r:id="rId9"/>
    <sheet name="Geographic Locations" sheetId="10" r:id="rId10"/>
    <sheet name="Schools" sheetId="11" r:id="rId11"/>
  </sheets>
  <externalReferences>
    <externalReference r:id="rId14"/>
  </externalReferences>
  <definedNames>
    <definedName name="_xlnm.Print_Area" localSheetId="3">'5 phase budget'!$A$1:$L$164</definedName>
    <definedName name="_xlnm.Print_Area" localSheetId="9">'Geographic Locations'!$A$1:$H$23</definedName>
    <definedName name="_xlnm.Print_Area" localSheetId="5">'Multifamily Homes Budget.Canaan'!$A$1:$J$632</definedName>
    <definedName name="_xlnm.Print_Titles" localSheetId="3">'5 phase budget'!$9:$10</definedName>
    <definedName name="_xlnm.Print_Titles" localSheetId="0">'Labor Budget'!$9:$10</definedName>
    <definedName name="_xlnm.Print_Titles" localSheetId="8">'Primary.Secondary Pillars'!$1:$12</definedName>
  </definedNames>
  <calcPr fullCalcOnLoad="1"/>
</workbook>
</file>

<file path=xl/comments6.xml><?xml version="1.0" encoding="utf-8"?>
<comments xmlns="http://schemas.openxmlformats.org/spreadsheetml/2006/main">
  <authors>
    <author>JJL MillerFoundation</author>
  </authors>
  <commentList>
    <comment ref="G214" authorId="0">
      <text>
        <r>
          <rPr>
            <b/>
            <sz val="9"/>
            <rFont val="Tahoma"/>
            <family val="2"/>
          </rPr>
          <t>JJL MillerFoundation:</t>
        </r>
        <r>
          <rPr>
            <sz val="9"/>
            <rFont val="Tahoma"/>
            <family val="2"/>
          </rPr>
          <t xml:space="preserve">
</t>
        </r>
      </text>
    </comment>
  </commentList>
</comments>
</file>

<file path=xl/comments7.xml><?xml version="1.0" encoding="utf-8"?>
<comments xmlns="http://schemas.openxmlformats.org/spreadsheetml/2006/main">
  <authors>
    <author>JJL MillerFoundation</author>
  </authors>
  <commentList>
    <comment ref="G214" authorId="0">
      <text>
        <r>
          <rPr>
            <b/>
            <sz val="9"/>
            <rFont val="Tahoma"/>
            <family val="2"/>
          </rPr>
          <t>JJL MillerFoundation:</t>
        </r>
        <r>
          <rPr>
            <sz val="9"/>
            <rFont val="Tahoma"/>
            <family val="2"/>
          </rPr>
          <t xml:space="preserve">
</t>
        </r>
      </text>
    </comment>
  </commentList>
</comments>
</file>

<file path=xl/sharedStrings.xml><?xml version="1.0" encoding="utf-8"?>
<sst xmlns="http://schemas.openxmlformats.org/spreadsheetml/2006/main" count="2664" uniqueCount="709">
  <si>
    <t>JJL Miller Foundation</t>
  </si>
  <si>
    <t>Proposed Time Frame 6/1/2010-5/31/2015 (Minimum); 5 years (5 phases)</t>
  </si>
  <si>
    <t>Labor Budget</t>
  </si>
  <si>
    <t>Program: Helping Haiti-Canaan II</t>
  </si>
  <si>
    <t>Position</t>
  </si>
  <si>
    <t>Program Administrator</t>
  </si>
  <si>
    <t>26 pays@ $6,730.77 (annual $175,000)</t>
  </si>
  <si>
    <t>Assistant Program Administrator</t>
  </si>
  <si>
    <t xml:space="preserve">2,500/month </t>
  </si>
  <si>
    <t>Lead Program Assistant</t>
  </si>
  <si>
    <t>Program Assistant 1</t>
  </si>
  <si>
    <t>400/month</t>
  </si>
  <si>
    <t>Program Assistant 2</t>
  </si>
  <si>
    <t>Program Assistant 3</t>
  </si>
  <si>
    <t>Program Assistant 4</t>
  </si>
  <si>
    <t>Community Program Coordinator</t>
  </si>
  <si>
    <t>Community Program Assistant 1</t>
  </si>
  <si>
    <t>Community Program Assistant 2</t>
  </si>
  <si>
    <t>Community Program Assistant 3</t>
  </si>
  <si>
    <t>Behavior Specialist</t>
  </si>
  <si>
    <t>1,500/month</t>
  </si>
  <si>
    <t>Assistant Behavior Specialist</t>
  </si>
  <si>
    <t>750/month</t>
  </si>
  <si>
    <t>Community Behavior Coordinator</t>
  </si>
  <si>
    <t>Community Behavior Assistant 1</t>
  </si>
  <si>
    <t>Community Behavior Assistant 2</t>
  </si>
  <si>
    <t>Community Behavior Assistant 3</t>
  </si>
  <si>
    <t>Human Resources</t>
  </si>
  <si>
    <t>Human Resources Clerk</t>
  </si>
  <si>
    <t>Administrative Assistant</t>
  </si>
  <si>
    <t>500/month</t>
  </si>
  <si>
    <t>Community Human Resources Coordinator</t>
  </si>
  <si>
    <t>Community Human Resources Assistant 1</t>
  </si>
  <si>
    <t>Community Human Resources Assistant 2</t>
  </si>
  <si>
    <t>Computer Consultant</t>
  </si>
  <si>
    <t>Accounting Manager</t>
  </si>
  <si>
    <t>Senior Accountant</t>
  </si>
  <si>
    <t>Payroll Accountant</t>
  </si>
  <si>
    <t>Payroll Clerk</t>
  </si>
  <si>
    <t>350/month</t>
  </si>
  <si>
    <t xml:space="preserve">Accounts Payable </t>
  </si>
  <si>
    <t xml:space="preserve">Accounts Receivable </t>
  </si>
  <si>
    <t>General Accounting Clerk</t>
  </si>
  <si>
    <t>Community Accounting Coordinator</t>
  </si>
  <si>
    <t>Community Receiving Clerk</t>
  </si>
  <si>
    <t>Community Accounting Clerk</t>
  </si>
  <si>
    <t>Community Time Keeping Coordinator</t>
  </si>
  <si>
    <t>Community Time Keeping Assistant 1</t>
  </si>
  <si>
    <t>Community Time Keeping Assistant 2</t>
  </si>
  <si>
    <t>Administrative Clerk 1</t>
  </si>
  <si>
    <t>Administrative Clerk 2</t>
  </si>
  <si>
    <t>Site Supervisor 1</t>
  </si>
  <si>
    <t>Site Supervisor 2</t>
  </si>
  <si>
    <t>Site Supervisor 3</t>
  </si>
  <si>
    <t>Surveying Supervisors</t>
  </si>
  <si>
    <t>Prepare Land Supervosors</t>
  </si>
  <si>
    <t>Pour Foundation Supervisors</t>
  </si>
  <si>
    <t>Panel Layout Supervisors</t>
  </si>
  <si>
    <t>Frame Exterior Supervisors</t>
  </si>
  <si>
    <t>Frame Interior Supervisors</t>
  </si>
  <si>
    <t>Plumbing Supervisors</t>
  </si>
  <si>
    <t>Electrical Supervisors</t>
  </si>
  <si>
    <t>Roof &amp; Tie Supervisors</t>
  </si>
  <si>
    <t>Solar Panel Installation Supervisors</t>
  </si>
  <si>
    <t>Plaster Exterior Walls Supervisors</t>
  </si>
  <si>
    <t>Plaster Interior Walls Supervisor</t>
  </si>
  <si>
    <t>Plaster Roof Supervisors</t>
  </si>
  <si>
    <t>Production Control</t>
  </si>
  <si>
    <t>Materials Control</t>
  </si>
  <si>
    <t>Labor Control</t>
  </si>
  <si>
    <t>Director of Security</t>
  </si>
  <si>
    <t>Security Supervisor</t>
  </si>
  <si>
    <t>Total</t>
  </si>
  <si>
    <t>300/month</t>
  </si>
  <si>
    <t>2,500/month</t>
  </si>
  <si>
    <t>1,000/month</t>
  </si>
  <si>
    <t>1,200/month</t>
  </si>
  <si>
    <t>Reg</t>
  </si>
  <si>
    <t>Approximate</t>
  </si>
  <si>
    <t>Supervisor</t>
  </si>
  <si>
    <t xml:space="preserve"> </t>
  </si>
  <si>
    <t>Daily</t>
  </si>
  <si>
    <t>Monthly (24d)</t>
  </si>
  <si>
    <t xml:space="preserve">Number </t>
  </si>
  <si>
    <t xml:space="preserve">Daily </t>
  </si>
  <si>
    <t>Monthly</t>
  </si>
  <si>
    <t>Individuals</t>
  </si>
  <si>
    <t>Salaries</t>
  </si>
  <si>
    <t xml:space="preserve">Salaries </t>
  </si>
  <si>
    <t>Staff</t>
  </si>
  <si>
    <t>PL Team- Anyone can do , particularly if not on any of other assigned teams--Estimated 250</t>
  </si>
  <si>
    <t>F Team: 3 Teams of 50 individuals-Team 1, Team 2, Team 3</t>
  </si>
  <si>
    <t>PLO Team: 10 Teams of 20 individuals-Team 1, Team 2, Team 3, Team 4, Team 5, Team 6, Team 7, Team 8, Team 9, Team 10</t>
  </si>
  <si>
    <t>RB Team: 2 Teams of 25 individuals- Team 1, Team 2</t>
  </si>
  <si>
    <t>FE Team: 5 Teams of 10 individuals- Team 1, Team 2, Team 3, Team 4, Team 5</t>
  </si>
  <si>
    <t>FI Team: 5 Teams of 10 individuals- Team 1, Team 2, Team 3, Team 4, Team 5</t>
  </si>
  <si>
    <t>P  Team: 2 Teams of 25 individuals-Team 1, Team 2</t>
  </si>
  <si>
    <t>E  Team: 2 Teams of 25 individuals-Team 1, Team 2</t>
  </si>
  <si>
    <t>WD Team: 5 Teams of 10 individuals- Team 1, Team 2, Team 3, Team 4, Team 5</t>
  </si>
  <si>
    <t xml:space="preserve">R  Team: 5 Teams of 20 individuals-Team 1, Team 2, Team 3, Team 4, Team 5  </t>
  </si>
  <si>
    <t xml:space="preserve">SP Team: 5 Teams of 20 individuals-Team 1, Team 2, Team 3, Team 4, Team 5  </t>
  </si>
  <si>
    <t xml:space="preserve">PE Team: 5 Teams of 20 individuals-Team 1, Team 2, Team 3, Team 4, Team 5  </t>
  </si>
  <si>
    <t xml:space="preserve">PI Team: 5 Teams of 20 individuals-Team 1, Team 2, Team 3, Team 4, Team 5  </t>
  </si>
  <si>
    <t xml:space="preserve">PR Team: 5 Teams of 20 individuals-Team 1, Team 2, Team 3, Team 4, Team 5  </t>
  </si>
  <si>
    <t xml:space="preserve">IF Team: 5 Teams of 20 individuals-Team 1, Team 2, Team 3, Team 4, Team 5  </t>
  </si>
  <si>
    <t>Each team will have a minimum of one supervisor (preferably 2)</t>
  </si>
  <si>
    <t>Home Construction/Facilities Monthly Total</t>
  </si>
  <si>
    <t>Construction Teams</t>
  </si>
  <si>
    <r>
      <t>S Team--Estimated 200; Only for one month-</t>
    </r>
    <r>
      <rPr>
        <b/>
        <sz val="11"/>
        <color indexed="10"/>
        <rFont val="Calibri"/>
        <family val="2"/>
      </rPr>
      <t>Upon completion, convert to roads work</t>
    </r>
  </si>
  <si>
    <t># Employees</t>
  </si>
  <si>
    <t>Construction Staff</t>
  </si>
  <si>
    <t>Annually</t>
  </si>
  <si>
    <t>Roadwork--Canaan II and outlaying areas ($3,000,000--Materials $1,500,000; Labor $1,500,000-36 months)</t>
  </si>
  <si>
    <t>Roadwork and Fences/Security System</t>
  </si>
  <si>
    <t>Roadwork Staff</t>
  </si>
  <si>
    <t>Fence/Security Staff</t>
  </si>
  <si>
    <t>Roadwork Supervisor</t>
  </si>
  <si>
    <t>301,200/month; $3,192,000 yr 1, $3,153,600 yr 2-</t>
  </si>
  <si>
    <t>9,504/month; $107,712 yr 1; $107,136 yr 2-</t>
  </si>
  <si>
    <t>Surveying included for one month, then convert to roadwork</t>
  </si>
  <si>
    <t>Build 3 schools  (primary and secondary); Vocational and trade building</t>
  </si>
  <si>
    <t>Build 3 Community Center building with computer lab--projection or movie screen in two; computer labs as an annex</t>
  </si>
  <si>
    <t>Build Clinic/physical therapy unit</t>
  </si>
  <si>
    <t>Teachers/other staff for primary and secondary school: 5% annual increase</t>
  </si>
  <si>
    <t>a</t>
  </si>
  <si>
    <t>Teachers (36): $300@12 months=$3,600x36 teachers</t>
  </si>
  <si>
    <t>b</t>
  </si>
  <si>
    <t>Teacher's aides (36) $200@12 months= $2,400x36 aides</t>
  </si>
  <si>
    <t>c</t>
  </si>
  <si>
    <t>Principals (3) $550@12 months= $6,600x3</t>
  </si>
  <si>
    <t>d</t>
  </si>
  <si>
    <t>Vice Principal (3) $450@12 months= $5,400x3</t>
  </si>
  <si>
    <t>e</t>
  </si>
  <si>
    <t>Administrative Assistant (6) $250@12 months= $3,000x12</t>
  </si>
  <si>
    <t>f</t>
  </si>
  <si>
    <t>Additional staff</t>
  </si>
  <si>
    <t>Subtotal school staff</t>
  </si>
  <si>
    <t>g</t>
  </si>
  <si>
    <t>Payroll taxes-approximately  10%</t>
  </si>
  <si>
    <t>h</t>
  </si>
  <si>
    <t>401 k/IRA/ or savings-5% gross</t>
  </si>
  <si>
    <t>i</t>
  </si>
  <si>
    <t>Medical/health benefit-10% gross</t>
  </si>
  <si>
    <t>Engineer</t>
  </si>
  <si>
    <t>Other building consultants-ineligible for 5% annual raise</t>
  </si>
  <si>
    <t>Psychologist- group sessions/make referrals as needed</t>
  </si>
  <si>
    <t>Community Center Staff</t>
  </si>
  <si>
    <t>Clinic Staff</t>
  </si>
  <si>
    <t>Subtotal building and other staff</t>
  </si>
  <si>
    <t>School supplies and books</t>
  </si>
  <si>
    <t>Community Center supplies and computers</t>
  </si>
  <si>
    <t>Dwelling subsidy program-individual home owners:</t>
  </si>
  <si>
    <t>Excavate/clear land/haul debris</t>
  </si>
  <si>
    <t>Repairs/Miscellaneous</t>
  </si>
  <si>
    <t>Dwelling subsidy program-organization owners:</t>
  </si>
  <si>
    <t>Assistance with displaced businesses, temporary locations, businesses housing temporary schools</t>
  </si>
  <si>
    <t>Large machinery rental</t>
  </si>
  <si>
    <t>Construction Tools</t>
  </si>
  <si>
    <t>Excavate/clear land/haul debris/additional building labor costs</t>
  </si>
  <si>
    <t>Community Programs: Food, cash and savings for work program: miscellaneous jobs; phase out year 3</t>
  </si>
  <si>
    <t>Clothing and specialized needs of Haitians</t>
  </si>
  <si>
    <t>Youth and young adult programs-To be designed based on needs of "final" program applicants</t>
  </si>
  <si>
    <t>Adult programs-To be designed based on needs of "final" program applicants</t>
  </si>
  <si>
    <t>Headquarters- leased building in Port-au-Prince @ $2,000/month</t>
  </si>
  <si>
    <t>Backup generators/generators</t>
  </si>
  <si>
    <t>Miscellaneous/Cover Programming staff &amp; programming deficits</t>
  </si>
  <si>
    <t>Indirect Costs</t>
  </si>
  <si>
    <t>Payroll tax expense--8-10%</t>
  </si>
  <si>
    <t>Fringe benefits-Life insurance/health insurance Program administrator 1, ?2($200@12mo; $500@12months @ 2)</t>
  </si>
  <si>
    <t>Fringe benefits-health insurance others-10%</t>
  </si>
  <si>
    <t>Fringe  benefits-401 k/retirement/savings-5%</t>
  </si>
  <si>
    <t>Air Travel (1-3 staff from US to and from Haiti)</t>
  </si>
  <si>
    <t>Lodging (1-3 US staff) $40/night for 233 days-2.50 persons</t>
  </si>
  <si>
    <t>Meals (1-3 US staff)</t>
  </si>
  <si>
    <t>Local Travel</t>
  </si>
  <si>
    <t>Gasoline for trucks purchased-Monthly: $1,000 x 2.50 x 12 months</t>
  </si>
  <si>
    <t>Telephone purchases for staff</t>
  </si>
  <si>
    <t>j</t>
  </si>
  <si>
    <t>Communications-telephone $1,000 per month</t>
  </si>
  <si>
    <t>k</t>
  </si>
  <si>
    <t>Communications-internet $125/month</t>
  </si>
  <si>
    <t>l</t>
  </si>
  <si>
    <t>Copies</t>
  </si>
  <si>
    <t>m</t>
  </si>
  <si>
    <t>Office Supplies</t>
  </si>
  <si>
    <t>n</t>
  </si>
  <si>
    <t>Laptops: 6 @ $1,000</t>
  </si>
  <si>
    <t>o</t>
  </si>
  <si>
    <t>Desktops: 6 @ $1,000</t>
  </si>
  <si>
    <t>p</t>
  </si>
  <si>
    <t>Printers: 10@ $250</t>
  </si>
  <si>
    <t>q</t>
  </si>
  <si>
    <t xml:space="preserve">Ink cartridges </t>
  </si>
  <si>
    <t>r</t>
  </si>
  <si>
    <t>Carton paper</t>
  </si>
  <si>
    <t>Computer Software</t>
  </si>
  <si>
    <t>Miscellaneous</t>
  </si>
  <si>
    <t>Subtotal</t>
  </si>
  <si>
    <t>Overhead--2.0% expense subtotal</t>
  </si>
  <si>
    <t>Overhead--2.0% expense subtotal: revert back to program</t>
  </si>
  <si>
    <t>Overhead--2.0% expense subtotal: Net Proceeds</t>
  </si>
  <si>
    <t>Year 1</t>
  </si>
  <si>
    <t>Year 2</t>
  </si>
  <si>
    <t>Year 3</t>
  </si>
  <si>
    <t>Year 4</t>
  </si>
  <si>
    <t>Year 5</t>
  </si>
  <si>
    <t>Estimated</t>
  </si>
  <si>
    <t>PHASE ONE</t>
  </si>
  <si>
    <t>PHASE TWO</t>
  </si>
  <si>
    <t>PHASE THREE</t>
  </si>
  <si>
    <t>PHASE FOUR</t>
  </si>
  <si>
    <t>PHASE FIVE</t>
  </si>
  <si>
    <t>TOTAL</t>
  </si>
  <si>
    <t>Canaan II</t>
  </si>
  <si>
    <t>Lot size to use</t>
  </si>
  <si>
    <t>W:approx 126'; L: approx 61'</t>
  </si>
  <si>
    <t xml:space="preserve"> 20'          20'               20'                    6'</t>
  </si>
  <si>
    <t xml:space="preserve"> 20'            20'            20'</t>
  </si>
  <si>
    <t>126'</t>
  </si>
  <si>
    <t>30'</t>
  </si>
  <si>
    <t>3BR    l   3BR       I     3BR    I       STAIRS</t>
  </si>
  <si>
    <t>3BR    I     3BR    I     3BR</t>
  </si>
  <si>
    <t>6'</t>
  </si>
  <si>
    <t xml:space="preserve">                       HALLWAY</t>
  </si>
  <si>
    <t xml:space="preserve">            HALLWAY</t>
  </si>
  <si>
    <t>25'</t>
  </si>
  <si>
    <t>2BR    l   2BR       I     1BR    I      CLOSET</t>
  </si>
  <si>
    <t>2BR    I     2BR    I     2BR</t>
  </si>
  <si>
    <t>61'</t>
  </si>
  <si>
    <t>Floor 1 and  2</t>
  </si>
  <si>
    <t>Floors 3 and 4</t>
  </si>
  <si>
    <t>Number of floors</t>
  </si>
  <si>
    <t>Total BR</t>
  </si>
  <si>
    <t>1BR</t>
  </si>
  <si>
    <t>2BR</t>
  </si>
  <si>
    <t>3BR</t>
  </si>
  <si>
    <t>Total units</t>
  </si>
  <si>
    <t>One Acre</t>
  </si>
  <si>
    <t>= 43,560 square feet</t>
  </si>
  <si>
    <t>= 4,840 square yards</t>
  </si>
  <si>
    <t>= 160 square rods</t>
  </si>
  <si>
    <t>= 1/640 square mile (that is, 0.001 562 5 sq. mile)</t>
  </si>
  <si>
    <t>Sq Footage</t>
  </si>
  <si>
    <t>Total Sq Footage</t>
  </si>
  <si>
    <t>Subtotal acres</t>
  </si>
  <si>
    <t>30 %Overage</t>
  </si>
  <si>
    <t>Total acres</t>
  </si>
  <si>
    <t>Length</t>
  </si>
  <si>
    <t>Width</t>
  </si>
  <si>
    <t>Per building</t>
  </si>
  <si>
    <t># buildings</t>
  </si>
  <si>
    <t>Needed</t>
  </si>
  <si>
    <t>Roads/yards</t>
  </si>
  <si>
    <t>Lot size for building</t>
  </si>
  <si>
    <t>Total Units</t>
  </si>
  <si>
    <t>Number of Floors</t>
  </si>
  <si>
    <t>Number Units per Building</t>
  </si>
  <si>
    <t>Number of Applicants (families)</t>
  </si>
  <si>
    <t>Actual units</t>
  </si>
  <si>
    <t>Number of buildings</t>
  </si>
  <si>
    <t>Number Buildings</t>
  </si>
  <si>
    <t>Number acres approximately 70</t>
  </si>
  <si>
    <t># Panels needed</t>
  </si>
  <si>
    <t>Total length-4 floors x 2</t>
  </si>
  <si>
    <t>Total width-4 floors x2</t>
  </si>
  <si>
    <t>Length per floor</t>
  </si>
  <si>
    <t>plus 10% overage</t>
  </si>
  <si>
    <t>Width per floor</t>
  </si>
  <si>
    <t>Panel system-exterior walls of building (Double panels)</t>
  </si>
  <si>
    <t>(61'/4' panels) x 2 walls x 2 (double panels)</t>
  </si>
  <si>
    <t>(126'/4' panels) x 2 walls x 2 (double panels)</t>
  </si>
  <si>
    <t>Total panels-exterior walls</t>
  </si>
  <si>
    <t>Interior hall walls-2 BR side</t>
  </si>
  <si>
    <t>(25'x 6)/4' panels</t>
  </si>
  <si>
    <t>(20'x6)/4' panels</t>
  </si>
  <si>
    <t>Total panels-interior hall walls- 2BR side</t>
  </si>
  <si>
    <t>Interior hall walls-3 BR side</t>
  </si>
  <si>
    <t>(30'x6)/4' panels</t>
  </si>
  <si>
    <t>Total panels-interior hall walls- 3BR side</t>
  </si>
  <si>
    <t>Total Interior/Exterior walls</t>
  </si>
  <si>
    <t>Number BR in Bldg</t>
  </si>
  <si>
    <t>10 % overage</t>
  </si>
  <si>
    <t>Interior rooms-1BR</t>
  </si>
  <si>
    <t>Interior rooms-2BR</t>
  </si>
  <si>
    <t>Interior rooms-3BR</t>
  </si>
  <si>
    <t>Total Interior rooms</t>
  </si>
  <si>
    <t>Total Panels needed</t>
  </si>
  <si>
    <t>Cost per panel ($51.37)</t>
  </si>
  <si>
    <t>Total Panel Cost</t>
  </si>
  <si>
    <t>Shipping Panels</t>
  </si>
  <si>
    <t>Interior rooms-1BR--Shipping foregone to be reinvested in program</t>
  </si>
  <si>
    <t>Interior rooms-2BR--Shipping foregone to be reinvested in program</t>
  </si>
  <si>
    <t>Interior rooms-3BR--Shipping foregone to be reinvested in program</t>
  </si>
  <si>
    <t>Building-interior/exterior walls</t>
  </si>
  <si>
    <t>Interior hall walls-2 BR side-shipping foregone, reinvest in program</t>
  </si>
  <si>
    <t>Interior hall walls-3 BR side-shipping foregone, reinvest in program</t>
  </si>
  <si>
    <t>Total Shipping panels</t>
  </si>
  <si>
    <t>Windows</t>
  </si>
  <si>
    <t>Corner units 4 windows</t>
  </si>
  <si>
    <t>Other units- 2 windows</t>
  </si>
  <si>
    <t>Total Window cost</t>
  </si>
  <si>
    <t>Doors/locks</t>
  </si>
  <si>
    <t>per unit</t>
  </si>
  <si>
    <t>Exterior unit doors</t>
  </si>
  <si>
    <t>6 panel colonial-metal</t>
  </si>
  <si>
    <t>Exterior door locks-$32</t>
  </si>
  <si>
    <t>Door hinges-exterior doors</t>
  </si>
  <si>
    <t>One bedroom</t>
  </si>
  <si>
    <t>1 BR-bedroom and bathroom door-build</t>
  </si>
  <si>
    <t>Door hinges</t>
  </si>
  <si>
    <t>Bedrooms and bathrooms locks-$18</t>
  </si>
  <si>
    <t>Two bedrooms</t>
  </si>
  <si>
    <t>2 BR-2 bedrooms and bathroom door-build</t>
  </si>
  <si>
    <t>Three bedrooms</t>
  </si>
  <si>
    <t>3 BR-3 bedrooms and bathroom door-build</t>
  </si>
  <si>
    <t>Exterior storage doors</t>
  </si>
  <si>
    <t>interior pine-100</t>
  </si>
  <si>
    <t>Storage-Exterior door locks-$32</t>
  </si>
  <si>
    <t>Building entrance door</t>
  </si>
  <si>
    <t>cherry wood-exterior $350</t>
  </si>
  <si>
    <t>Building-Exterior door locks-$32</t>
  </si>
  <si>
    <t>Hinges-building exterior door</t>
  </si>
  <si>
    <t>Total Doors/locks</t>
  </si>
  <si>
    <t>Electrical</t>
  </si>
  <si>
    <t>Unit wiring-size 12(bigger) for receptacles</t>
  </si>
  <si>
    <t>$87/500 ft size 12 (bigger) receptacles (.18/ft)</t>
  </si>
  <si>
    <t>Unit wiring-size 14 for lights/switches/smoke detectors</t>
  </si>
  <si>
    <t>$65/500 ft size 14 lights/switches (.13/ft)</t>
  </si>
  <si>
    <t>Receptacles-4 per room, bathroom 2</t>
  </si>
  <si>
    <t>Receptacles covers-4 per room, bathroom 2</t>
  </si>
  <si>
    <t>Ceramic Lights-2 per room</t>
  </si>
  <si>
    <t>Light switches-2 per room</t>
  </si>
  <si>
    <t>Light covers-2 per room</t>
  </si>
  <si>
    <t>Ceramic Lights-Hallway 2</t>
  </si>
  <si>
    <t>Light switches-Hallways 2</t>
  </si>
  <si>
    <t>Light covers-Hallways 2</t>
  </si>
  <si>
    <t>Electrical boxes-receptacles/switches</t>
  </si>
  <si>
    <t>Electrical boxes-lights</t>
  </si>
  <si>
    <t>Light bulbs-energy efficient</t>
  </si>
  <si>
    <t>Unit Panel breaker-6 circuits</t>
  </si>
  <si>
    <t>Circuit breakers</t>
  </si>
  <si>
    <t>Safety switch 60 amp</t>
  </si>
  <si>
    <t>Doublethrow 2 pole 60 amp</t>
  </si>
  <si>
    <t>Smoke detectors (hard wired)-bedrooms and livingroom</t>
  </si>
  <si>
    <t>Home depot-$50/4= 12.50 each</t>
  </si>
  <si>
    <t>Lights switches-2 per room</t>
  </si>
  <si>
    <t>Lights covers-2 per room</t>
  </si>
  <si>
    <t>Ceramic Lights-Hallway 3</t>
  </si>
  <si>
    <t>Light switches-Hallways 3</t>
  </si>
  <si>
    <t>Light covers-Hallways 3</t>
  </si>
  <si>
    <t>Hallways/storage rooms wiring-12 (bigger) for receptacles</t>
  </si>
  <si>
    <t>Hallways/storage rooms wiring-14 for lights/switches</t>
  </si>
  <si>
    <t>Hallways/storage rooms receptacles</t>
  </si>
  <si>
    <t>Hallways/storage rooms receptacles covers</t>
  </si>
  <si>
    <t>Hallway and storage room  lights</t>
  </si>
  <si>
    <t xml:space="preserve">Hallways/storage room light switches </t>
  </si>
  <si>
    <t>Hallways/storage room light switch covers</t>
  </si>
  <si>
    <t>Building panel breaker-8 circuits</t>
  </si>
  <si>
    <t>Smoke detectors (hard wired)-hallways and storage rooms</t>
  </si>
  <si>
    <t>Hallway  fire extinguishers</t>
  </si>
  <si>
    <t>Total Electrical</t>
  </si>
  <si>
    <t>Unit solar system-I bedroom</t>
  </si>
  <si>
    <t>Unit solar system-2 bedrooms</t>
  </si>
  <si>
    <t>Unit solar system-3 bedrooms</t>
  </si>
  <si>
    <t>Building solar system- $4,375</t>
  </si>
  <si>
    <t>800 watt solar system-$4,375</t>
  </si>
  <si>
    <t>8 batteries, inverter, converter</t>
  </si>
  <si>
    <t>300 watt solar system-$1,875</t>
  </si>
  <si>
    <t>2 batteries, inverter, converter</t>
  </si>
  <si>
    <t>Batteries (use 4, Haiti $125, 2-5 year life)</t>
  </si>
  <si>
    <t>Total Solar panels/inverters/batteries</t>
  </si>
  <si>
    <t>Plumbing</t>
  </si>
  <si>
    <t>Units-PVC pipe-20 ft: 3/4 $4.60; 1/2 $3.40</t>
  </si>
  <si>
    <t>$5-6/10 ft length</t>
  </si>
  <si>
    <t>Units-PVC pipe fittings</t>
  </si>
  <si>
    <t>Units-glue/putty</t>
  </si>
  <si>
    <t>Units j trap</t>
  </si>
  <si>
    <t>Unit shut off valves-entrance, bathroom, kitchen, vanity</t>
  </si>
  <si>
    <t>Toilet flange and gasket (includes wax ring)-4 in</t>
  </si>
  <si>
    <t>Flexible line water connectors-bathroom, kitchen sink, vanity, toilet</t>
  </si>
  <si>
    <t>Units-Drain pipe/glue/connectors</t>
  </si>
  <si>
    <t>Units-vanity</t>
  </si>
  <si>
    <t>Units-toilet corona</t>
  </si>
  <si>
    <t>Units-faucet</t>
  </si>
  <si>
    <t>Units-shower fixture</t>
  </si>
  <si>
    <t>Storage closet-PVC pipe</t>
  </si>
  <si>
    <t>Storage closet-PVC pipe fittings</t>
  </si>
  <si>
    <t>Storage closet-glue/putty</t>
  </si>
  <si>
    <t>J trap</t>
  </si>
  <si>
    <t>Storage closet shut off valves-2</t>
  </si>
  <si>
    <t>Storage closet-Utility sink</t>
  </si>
  <si>
    <t>Storage closet-sink fixture</t>
  </si>
  <si>
    <t>Flexible line connectors</t>
  </si>
  <si>
    <t>Building water line</t>
  </si>
  <si>
    <t>Building sewer line/glue/connectors/drain cleanout/cap</t>
  </si>
  <si>
    <t>Total Plumbing cost</t>
  </si>
  <si>
    <t>Kitchen</t>
  </si>
  <si>
    <t>Stove</t>
  </si>
  <si>
    <t>Refrigerator</t>
  </si>
  <si>
    <t>350--s/b able to get cheaper</t>
  </si>
  <si>
    <t>Kitchen cabinets-minimum 4-build</t>
  </si>
  <si>
    <t>Countertop-build (use concrete board, tile, plastic strip)</t>
  </si>
  <si>
    <t>Base cabinet-build</t>
  </si>
  <si>
    <t>Base cabinet sink</t>
  </si>
  <si>
    <t>single 26, double 45</t>
  </si>
  <si>
    <t>Kitchen drain</t>
  </si>
  <si>
    <t>Kitchen sink fixture-china 15, gerber 65 (get one cheaper)</t>
  </si>
  <si>
    <t>Total Kitchen cost</t>
  </si>
  <si>
    <t>Interior Walls /Floors</t>
  </si>
  <si>
    <t>One bedroom-ceramic tile</t>
  </si>
  <si>
    <t>One bedroom-grout/thin set</t>
  </si>
  <si>
    <t>One bedroom-paint interior walls-tropitex $31/5gallons</t>
  </si>
  <si>
    <t>One gallon 12'x15' room=6.2 gallon</t>
  </si>
  <si>
    <t>Two bedrooms-ceramic tile</t>
  </si>
  <si>
    <t>Two bedrooms-grout/thin set</t>
  </si>
  <si>
    <t>Two bedrooms-paint interior walls</t>
  </si>
  <si>
    <t>Three bedrooms-ceramic tile</t>
  </si>
  <si>
    <t>Three bedrooms-grout/thin set</t>
  </si>
  <si>
    <t>Three bedrooms-paint interior walls</t>
  </si>
  <si>
    <t>Hallways and common areas-ceramic tile</t>
  </si>
  <si>
    <t>Hallways and common areas-grout/thin set</t>
  </si>
  <si>
    <t>Hallways and common areas-paint interior walls</t>
  </si>
  <si>
    <t>Total Interior Walls/floor cost</t>
  </si>
  <si>
    <t>Exterior</t>
  </si>
  <si>
    <t>Exterior painting</t>
  </si>
  <si>
    <t>Landscaping</t>
  </si>
  <si>
    <t>Total Exterior painting/landscaping</t>
  </si>
  <si>
    <t>Security</t>
  </si>
  <si>
    <t>Security fence around building</t>
  </si>
  <si>
    <t>Building entrance security door</t>
  </si>
  <si>
    <t>Security station at building entrance</t>
  </si>
  <si>
    <t>Security monitoring system and cameras</t>
  </si>
  <si>
    <t>Total Security</t>
  </si>
  <si>
    <t>Other</t>
  </si>
  <si>
    <t>Concrete-exterior and interior walls/rebar</t>
  </si>
  <si>
    <t>Hallway stairs-need 4 feet width</t>
  </si>
  <si>
    <t>Building footing/foundation</t>
  </si>
  <si>
    <t>Building -floors/beam/cement/rebar</t>
  </si>
  <si>
    <t>Building-roof (zinc-cap sides with capping-tin aluminum)</t>
  </si>
  <si>
    <t>12' x 3',  35mm thick</t>
  </si>
  <si>
    <t>Building roof-ridge</t>
  </si>
  <si>
    <t>Building roof-cement</t>
  </si>
  <si>
    <t>Building gutters/gutters</t>
  </si>
  <si>
    <t>Tank to collect water and recycle</t>
  </si>
  <si>
    <t>Labor ($750x48 units)</t>
  </si>
  <si>
    <t>Backup generator</t>
  </si>
  <si>
    <t>Land</t>
  </si>
  <si>
    <t>Windows/stairways</t>
  </si>
  <si>
    <t>Water tank (top of building)-400 gallons</t>
  </si>
  <si>
    <t>Water reservoir-in ground (concrete liner)$1 gallon to build-1,000 gallons</t>
  </si>
  <si>
    <t>Water pump system-pressure tank 30 gallons</t>
  </si>
  <si>
    <t>Pump 1.5 horsepower</t>
  </si>
  <si>
    <t>Propane tanks piped (copper or copper tubing) to each unit/storage cage</t>
  </si>
  <si>
    <t>Total-Other</t>
  </si>
  <si>
    <t>Grand Total</t>
  </si>
  <si>
    <t>Common area costs</t>
  </si>
  <si>
    <t>Building-interior/exterior walls: Shipping</t>
  </si>
  <si>
    <t>Common costs allocation</t>
  </si>
  <si>
    <t>Square footage</t>
  </si>
  <si>
    <t>Number of units</t>
  </si>
  <si>
    <t>Total square footage</t>
  </si>
  <si>
    <t>Allocation %</t>
  </si>
  <si>
    <t>Total to allocate</t>
  </si>
  <si>
    <t>Allocated Amount</t>
  </si>
  <si>
    <t>Per unit allocation</t>
  </si>
  <si>
    <t>I bedroom unit</t>
  </si>
  <si>
    <t>2 bedroom unit</t>
  </si>
  <si>
    <t>3 bedroom unit</t>
  </si>
  <si>
    <t>Total Common Costs</t>
  </si>
  <si>
    <t>Allocated amount</t>
  </si>
  <si>
    <t>Panels- Interior rooms</t>
  </si>
  <si>
    <t>Shipping panels for interior walls</t>
  </si>
  <si>
    <t>2 windows</t>
  </si>
  <si>
    <t>Total costs of Units</t>
  </si>
  <si>
    <t>Cost per unit</t>
  </si>
  <si>
    <t>Subtotal-before allocation of common costs</t>
  </si>
  <si>
    <t>Common costs  allocation</t>
  </si>
  <si>
    <t>Grand total</t>
  </si>
  <si>
    <t>Two  Bedrooms</t>
  </si>
  <si>
    <t>3 Bedrooms</t>
  </si>
  <si>
    <t>Total building costs</t>
  </si>
  <si>
    <t>Panel system-basic kitchen/bathroom</t>
  </si>
  <si>
    <t>Solar panel/Inverter</t>
  </si>
  <si>
    <t>Labor</t>
  </si>
  <si>
    <t>Upgrades-doors/kitchen/bathroom</t>
  </si>
  <si>
    <t>Shipping??--if do not incur shipping.</t>
  </si>
  <si>
    <t>Use for add'l houses throughout Haiti</t>
  </si>
  <si>
    <t>Number of Buildings</t>
  </si>
  <si>
    <t>Number of individuals (average family size 7)</t>
  </si>
  <si>
    <t>Solar panels/inverters/batteries</t>
  </si>
  <si>
    <t>Units-Shower: Blocks. Concrete, tile- shower area</t>
  </si>
  <si>
    <t>Cost</t>
  </si>
  <si>
    <t>Total Cost</t>
  </si>
  <si>
    <t>Shipping</t>
  </si>
  <si>
    <t xml:space="preserve">Total </t>
  </si>
  <si>
    <t>One Building</t>
  </si>
  <si>
    <t>Building Materials and Supplies</t>
  </si>
  <si>
    <t>Building Costs</t>
  </si>
  <si>
    <t>Two Bedroom Unit</t>
  </si>
  <si>
    <t>Three Bedroom Unit</t>
  </si>
  <si>
    <t>One Bedroom Unit</t>
  </si>
  <si>
    <t>Common Costs</t>
  </si>
  <si>
    <t>Direct Cost per Unit</t>
  </si>
  <si>
    <t>Common Cost Allocated</t>
  </si>
  <si>
    <t>Total Cost per Unit</t>
  </si>
  <si>
    <t>Number of Units</t>
  </si>
  <si>
    <t>Detail for Common area costs and Unit Costs</t>
  </si>
  <si>
    <t>Costs per unit</t>
  </si>
  <si>
    <t>Budgeted per year</t>
  </si>
  <si>
    <t>Infrastructure/Security/Fence</t>
  </si>
  <si>
    <t>Programming and Administrative Staff</t>
  </si>
  <si>
    <t xml:space="preserve">Programming and Administrative </t>
  </si>
  <si>
    <t xml:space="preserve">Subtotal Programming and Administrative Salaries </t>
  </si>
  <si>
    <t>Purchase 3 -5 wheel trucks</t>
  </si>
  <si>
    <t>Land Purchase-$2,580,526.86 budgeted as common costs for multifamily home budget</t>
  </si>
  <si>
    <t>Build Permanent Homes-Canaan II applicants</t>
  </si>
  <si>
    <t>Multifamily Home Building Budget-Canaan II</t>
  </si>
  <si>
    <t>Multifamily Home Building Budget-Other Locations</t>
  </si>
  <si>
    <t>Other Locations</t>
  </si>
  <si>
    <t>Mountains Near Arcahaic-Houses</t>
  </si>
  <si>
    <t>Estimated Total Needed</t>
  </si>
  <si>
    <t>One Bedroom</t>
  </si>
  <si>
    <t>Two Bedrooms</t>
  </si>
  <si>
    <t>Three Bedrooms</t>
  </si>
  <si>
    <t>To Budget</t>
  </si>
  <si>
    <t>Total Labor-Other Locations</t>
  </si>
  <si>
    <t>Canaan II and Other Applicants</t>
  </si>
  <si>
    <t xml:space="preserve">Number of </t>
  </si>
  <si>
    <t>Homes</t>
  </si>
  <si>
    <t>Number of</t>
  </si>
  <si>
    <t>Families</t>
  </si>
  <si>
    <t># Units/Building</t>
  </si>
  <si>
    <t>Total # Units</t>
  </si>
  <si>
    <t>Cite Soleil (2 buildings-96 units)</t>
  </si>
  <si>
    <t>Petit-Goâve (2 buildings-96 units)</t>
  </si>
  <si>
    <t>Jacmel (2 buildings-96 units)</t>
  </si>
  <si>
    <t xml:space="preserve">Average Family </t>
  </si>
  <si>
    <t>Size</t>
  </si>
  <si>
    <t>Number of Homes, Families and Individuals Housed</t>
  </si>
  <si>
    <t>Attorney/Notary: contracts/land/home agreements/Haiti registation</t>
  </si>
  <si>
    <t>Build 3 schools  (primary and secondary); Vocational and trade building; Office</t>
  </si>
  <si>
    <t>Grounds Maintenance/Community Cleaning Crew</t>
  </si>
  <si>
    <t>Grounds Maintenance/Community Cleaning Staff (25) $350@12 months</t>
  </si>
  <si>
    <t>2,500/month-2 years</t>
  </si>
  <si>
    <t>500/month-2 years</t>
  </si>
  <si>
    <t>750/month-2 years</t>
  </si>
  <si>
    <t>42,000/month-3 years</t>
  </si>
  <si>
    <t>576/month-3 years</t>
  </si>
  <si>
    <t>33,600/month-2 years</t>
  </si>
  <si>
    <t>Fence/Security Supervisor</t>
  </si>
  <si>
    <t>288/month-2 years</t>
  </si>
  <si>
    <t>2,000/month-2 years</t>
  </si>
  <si>
    <t>3,000/month-5 years</t>
  </si>
  <si>
    <t>1,500/month-5 years</t>
  </si>
  <si>
    <r>
      <t>Construction Staff (</t>
    </r>
    <r>
      <rPr>
        <b/>
        <sz val="12"/>
        <color indexed="8"/>
        <rFont val="Times New Roman"/>
        <family val="1"/>
      </rPr>
      <t>See Detail Below)</t>
    </r>
  </si>
  <si>
    <r>
      <t>Construction Staff Supervisors (</t>
    </r>
    <r>
      <rPr>
        <b/>
        <sz val="12"/>
        <color indexed="8"/>
        <rFont val="Times New Roman"/>
        <family val="1"/>
      </rPr>
      <t>See Detail Below)</t>
    </r>
  </si>
  <si>
    <t>Roadwork  and Fences/Security  Monthly Total</t>
  </si>
  <si>
    <t>Permanent Staff</t>
  </si>
  <si>
    <t>Other Staff</t>
  </si>
  <si>
    <t>Bus Service Personnel</t>
  </si>
  <si>
    <t>Grand Total Permanent Staff</t>
  </si>
  <si>
    <t>Total Teachers/other staff</t>
  </si>
  <si>
    <t>Total Other Staff</t>
  </si>
  <si>
    <t>Total Bus Service Staff</t>
  </si>
  <si>
    <t>Total Grounds Maintenance/Community Cleaning Crew</t>
  </si>
  <si>
    <t>Proposed Annual Budget (Preliminary): $46,000,000(US)</t>
  </si>
  <si>
    <t>Total budget for 5 years/5 phases $230,000,000 (US)</t>
  </si>
  <si>
    <t>Labor Budget Funding</t>
  </si>
  <si>
    <t>Roadwork</t>
  </si>
  <si>
    <t>Fence/Security</t>
  </si>
  <si>
    <t>Teachers and other school staff</t>
  </si>
  <si>
    <t>Other Staff-Psychologist, Clinic, Community Center Staff</t>
  </si>
  <si>
    <t>Bus Service Staff</t>
  </si>
  <si>
    <t>Funding Sources</t>
  </si>
  <si>
    <t>Included as line item in 5 year budget</t>
  </si>
  <si>
    <t>Canaan II Multifamily Housing (10,800 units): Labor</t>
  </si>
  <si>
    <t>Petit-Goâve (2 buildings-96 units): Labor</t>
  </si>
  <si>
    <t>Cite Soleil (2 buildings-96 units): Labor</t>
  </si>
  <si>
    <t>Jacmel (2 buildings-96 units): Labor</t>
  </si>
  <si>
    <t>Arcahaic (2 buildings-96 units): Labor</t>
  </si>
  <si>
    <t>Arcahaic-Mountains (50 houses-3-1 BR, 22-2BR, 25-3BR): Labor</t>
  </si>
  <si>
    <t>Total Funding Sources</t>
  </si>
  <si>
    <t>Variance-To be used for building schools and other facilities (common costs)</t>
  </si>
  <si>
    <t>Roadwork (Community and outlaying areas-$1,500,000 materials; Labor $1,500,000)</t>
  </si>
  <si>
    <t>Roadwork Budget</t>
  </si>
  <si>
    <t>Variance-Some of roadwork will be in the community therefore will be funded from construction budget</t>
  </si>
  <si>
    <t>Fence/Security Budget</t>
  </si>
  <si>
    <t>Security Staff</t>
  </si>
  <si>
    <t>400/month-5 years</t>
  </si>
  <si>
    <t>Security/Fence: Materials $2,500,000; Labor $1,000,000)</t>
  </si>
  <si>
    <t>Fences/Security System--($3,500,000-Materials $2,500,000; Labor $1,000,000-18 months)</t>
  </si>
  <si>
    <t>Variance- To be used for labor or additional fencing</t>
  </si>
  <si>
    <t>Buses and transport for community public transportation-purchase buses year 1 &amp; 2-includes labor</t>
  </si>
  <si>
    <t>Total Expenses Budgeted</t>
  </si>
  <si>
    <t>Variances</t>
  </si>
  <si>
    <t>Notes</t>
  </si>
  <si>
    <t>1.  Budgeted line items not expended or where savings are realized---to be reallocated to building homes or other areas that need funding; Higher Education/Senior Citizen Fund to be established</t>
  </si>
  <si>
    <t xml:space="preserve">      begin subsequent phases. The same will be true for other programming.</t>
  </si>
  <si>
    <t>2.  In order to expedite the "home building", we will build continuously without regard to the budgeted years so as to facilitate movement and sheltering the applicants. Therefore, as one phase is completed, we will</t>
  </si>
  <si>
    <t>3.  Thermal Panel Factory to be built at approximate cost of $1,500,000 will be funded from budgeted panel shipping costs. The costs of shipping foregone will pay for the factory.</t>
  </si>
  <si>
    <t>4.  The Permanent Homes being built will be sold to the applicants at 50-60% of costs. The note for said sale can be carried as an interest free note if paid within 5-10 years (to be determined).</t>
  </si>
  <si>
    <t xml:space="preserve">      Monthly payments will include payment of said notes, a prorata share of common area costs and property taxes which will be escrowed until payments are due.</t>
  </si>
  <si>
    <t>Thermal Panel Factory- To be funded out of budgeted thermal panel shipping costs</t>
  </si>
  <si>
    <t xml:space="preserve">% </t>
  </si>
  <si>
    <t>Total Budget</t>
  </si>
  <si>
    <t>Construction/Construction Related</t>
  </si>
  <si>
    <t>Engineer, other building consultants-ineligible for 5% annual raise</t>
  </si>
  <si>
    <t>Subtotal-Construction/Construction Related</t>
  </si>
  <si>
    <t>Program Related</t>
  </si>
  <si>
    <t>Subtotal- Program Related</t>
  </si>
  <si>
    <t>School salaries and benefits</t>
  </si>
  <si>
    <t>Subtotal-Salaries</t>
  </si>
  <si>
    <t>Travel, lodging, meals</t>
  </si>
  <si>
    <t>Truck purchases and gasoline</t>
  </si>
  <si>
    <t>Communication expenses</t>
  </si>
  <si>
    <t>Corporate Office Rental</t>
  </si>
  <si>
    <t>Office supplies, copies, equipment, etc.</t>
  </si>
  <si>
    <t>Subtotal-Other</t>
  </si>
  <si>
    <t>Subtotal- Expenses</t>
  </si>
  <si>
    <t>JJL Miller Overhead reverting back to program</t>
  </si>
  <si>
    <t>One building-48 units</t>
  </si>
  <si>
    <t>Scholarship Fund</t>
  </si>
  <si>
    <t>Fund for the elderly/disabled</t>
  </si>
  <si>
    <t>5.  Funds received via sale of units will be accounted for separately and said proceeds will be reinvested in the program for additional housing and/or programming including job creation.</t>
  </si>
  <si>
    <t xml:space="preserve">6.  Street children--Homes, programs, supervision and education  to be provided for these children, many of whom lost their parents during the earthquake. This will be funded from dwelling subsidy program </t>
  </si>
  <si>
    <t xml:space="preserve">      and savings realized from program expenditures.</t>
  </si>
  <si>
    <t>Youth Fund (Children without parents)</t>
  </si>
  <si>
    <t>Proposed budget for 5 years</t>
  </si>
  <si>
    <t>5 Year Budget Summary</t>
  </si>
  <si>
    <t>Thermal Panel Factory- To be funded out of budgeted thermal panel shipping costs: Cost $1,500,000</t>
  </si>
  <si>
    <t>Psychologist, Clinic Staff, Community Center Staff and benefits, Grounds maintenance</t>
  </si>
  <si>
    <t>Programming and Administrative Staff and benefits</t>
  </si>
  <si>
    <t>Primary and Secondary Pillars</t>
  </si>
  <si>
    <t>Primary Pillar</t>
  </si>
  <si>
    <t>Social rebldg</t>
  </si>
  <si>
    <t>Unallocated</t>
  </si>
  <si>
    <t>Economic rebldg</t>
  </si>
  <si>
    <t>Territorial rebldg</t>
  </si>
  <si>
    <t xml:space="preserve">Other-clothing &amp; </t>
  </si>
  <si>
    <t>Job creation</t>
  </si>
  <si>
    <t>Other- New</t>
  </si>
  <si>
    <t>Sub section</t>
  </si>
  <si>
    <t>Housing</t>
  </si>
  <si>
    <t>Education</t>
  </si>
  <si>
    <t>Health</t>
  </si>
  <si>
    <t>&amp; training</t>
  </si>
  <si>
    <t>Infrastructure</t>
  </si>
  <si>
    <t>Allocate to housing, education, health, job creation &amp; training based on % prior to allocation</t>
  </si>
  <si>
    <t>Subtotal school staff-taxes/benefits</t>
  </si>
  <si>
    <t>Subtotal building and other staff-taxes/benefits</t>
  </si>
  <si>
    <t>Programming and Administrative Salries-taxes/benefits</t>
  </si>
  <si>
    <t>Subtotal Programming and Administrative Salaries -taxes/benefits</t>
  </si>
  <si>
    <t>Allocation of $4,916,975.41</t>
  </si>
  <si>
    <t xml:space="preserve">Overhead--2.0% expense </t>
  </si>
  <si>
    <t>Overhead Allocation</t>
  </si>
  <si>
    <t>Allocation  basis for shared cost</t>
  </si>
  <si>
    <t>Pillar percentages</t>
  </si>
  <si>
    <t>specialized needs-relef</t>
  </si>
  <si>
    <t>specialized needs-relief</t>
  </si>
  <si>
    <t>business-Industry</t>
  </si>
  <si>
    <t>business-industry</t>
  </si>
  <si>
    <t>used 64% to submit</t>
  </si>
  <si>
    <t>School</t>
  </si>
  <si>
    <t>Land for school</t>
  </si>
  <si>
    <t>Geographic Locations</t>
  </si>
  <si>
    <t>Jacmel</t>
  </si>
  <si>
    <t>Arcahaie</t>
  </si>
  <si>
    <t>Two buildings, 96 units</t>
  </si>
  <si>
    <t>Single family homes</t>
  </si>
  <si>
    <t>Clinic</t>
  </si>
  <si>
    <t>Croix-des-Bouquet</t>
  </si>
  <si>
    <t>Petit Goave</t>
  </si>
  <si>
    <t>Port-au-Prince</t>
  </si>
  <si>
    <t>Cite Soleil</t>
  </si>
  <si>
    <t>Programming balance</t>
  </si>
  <si>
    <t>Percentages</t>
  </si>
  <si>
    <t>Arcahaie (2 buildings-96 units)</t>
  </si>
  <si>
    <t>Arcahaie-Mountains (50 houses-3-1 BR, 22-2BR, 25-3BR)</t>
  </si>
  <si>
    <t>Petit-Goâve, Cite Soleil, Jacmel, Arcahaie- 2 buildings, 48 units each for each location</t>
  </si>
  <si>
    <t>Petit-Goâve, Cite Soleil, Jacmel, Arcahaie/Mountains near Arcahaie- 2 buildings, 48 units each for each location. Mountains near Arcahaie-build 50 single family houses</t>
  </si>
  <si>
    <t>Minimum number of jobs per year</t>
  </si>
  <si>
    <t>Build Permanent Homes-Petit-Goâve (96), Jacmel (96), Cite Soleil (96) Archaie/Mountains (146)</t>
  </si>
  <si>
    <t>Initial Funds Request</t>
  </si>
  <si>
    <t>5 Year Budget</t>
  </si>
  <si>
    <t>Initial Funds</t>
  </si>
  <si>
    <t>Request</t>
  </si>
  <si>
    <t>Balance</t>
  </si>
  <si>
    <t>(through 5/31/11)</t>
  </si>
  <si>
    <t>6/1/10-5/31/11</t>
  </si>
  <si>
    <t>3/11-5/31/11</t>
  </si>
  <si>
    <t>Calculations</t>
  </si>
  <si>
    <t>+ 5 multifamily buildings</t>
  </si>
  <si>
    <t>`</t>
  </si>
  <si>
    <t>Total not hired as of yet</t>
  </si>
  <si>
    <t>Total requested for initial funds request</t>
  </si>
  <si>
    <t>Schools</t>
  </si>
  <si>
    <r>
      <t>Kindergarten, Elementary, Junior High School, Senior High School-</t>
    </r>
    <r>
      <rPr>
        <b/>
        <sz val="12"/>
        <color indexed="8"/>
        <rFont val="Times New Roman"/>
        <family val="1"/>
      </rPr>
      <t>Minimum of 3 based on the demographics of the population</t>
    </r>
  </si>
  <si>
    <t>School #1</t>
  </si>
  <si>
    <t>School #2</t>
  </si>
  <si>
    <t>School #3</t>
  </si>
  <si>
    <t>Approximate number of students/classroom</t>
  </si>
  <si>
    <t>Buildings</t>
  </si>
  <si>
    <t>Number acres approximately .50</t>
  </si>
  <si>
    <t>Units per Building</t>
  </si>
  <si>
    <t>Total Shipping</t>
  </si>
  <si>
    <t xml:space="preserve"> 233 Buildings</t>
  </si>
  <si>
    <t>Total students-minimum</t>
  </si>
  <si>
    <t xml:space="preserve">Number of classrooms per building will be based on the grade levels needed to educate the children of the applicant families </t>
  </si>
  <si>
    <t>Number of classrooms-minimum</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</si>
</sst>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0.0_);\(#,##0.0\)"/>
    <numFmt numFmtId="166" formatCode="#,##0.00_ ;\-#,##0.00\ "/>
    <numFmt numFmtId="167" formatCode="#,##0.0000_);\(#,##0.0000\)"/>
    <numFmt numFmtId="168" formatCode="#,##0_ ;\-#,##0\ "/>
    <numFmt numFmtId="169" formatCode="#,##0.0000_ ;\-#,##0.0000\ "/>
    <numFmt numFmtId="170" formatCode="0.0000%"/>
    <numFmt numFmtId="171" formatCode="#,##0.000000_);\(#,##0.000000\)"/>
  </numFmts>
  <fonts count="81">
    <font>
      <sz val="11"/>
      <color theme="1"/>
      <name val="Calibri"/>
      <family val="2"/>
    </font>
    <font>
      <sz val="11"/>
      <color indexed="8"/>
      <name val="Calibri"/>
      <family val="2"/>
    </font>
    <font>
      <b/>
      <sz val="11"/>
      <color indexed="10"/>
      <name val="Calibri"/>
      <family val="2"/>
    </font>
    <font>
      <b/>
      <sz val="12"/>
      <color indexed="8"/>
      <name val="Times New Roman"/>
      <family val="1"/>
    </font>
    <font>
      <b/>
      <sz val="9"/>
      <name val="Tahoma"/>
      <family val="2"/>
    </font>
    <font>
      <sz val="9"/>
      <name val="Tahoma"/>
      <family val="2"/>
    </font>
    <font>
      <b/>
      <sz val="12"/>
      <name val="Times New Roman"/>
      <family val="1"/>
    </font>
    <font>
      <sz val="12"/>
      <name val="Times New Roman"/>
      <family val="1"/>
    </font>
    <font>
      <b/>
      <sz val="11"/>
      <name val="Times New Roman"/>
      <family val="1"/>
    </font>
    <font>
      <sz val="11"/>
      <name val="Times New Roman"/>
      <family val="1"/>
    </font>
    <font>
      <b/>
      <u val="single"/>
      <sz val="12"/>
      <name val="Times New Roman"/>
      <family val="1"/>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Times New Roman"/>
      <family val="1"/>
    </font>
    <font>
      <b/>
      <sz val="11"/>
      <color indexed="8"/>
      <name val="Times New Roman"/>
      <family val="1"/>
    </font>
    <font>
      <sz val="11"/>
      <color indexed="8"/>
      <name val="Times New Roman"/>
      <family val="1"/>
    </font>
    <font>
      <sz val="12"/>
      <color indexed="8"/>
      <name val="Times New Roman"/>
      <family val="1"/>
    </font>
    <font>
      <b/>
      <u val="single"/>
      <sz val="12"/>
      <color indexed="8"/>
      <name val="Times New Roman"/>
      <family val="1"/>
    </font>
    <font>
      <b/>
      <sz val="14"/>
      <color indexed="8"/>
      <name val="Times New Roman"/>
      <family val="1"/>
    </font>
    <font>
      <sz val="11"/>
      <name val="Calibri"/>
      <family val="2"/>
    </font>
    <font>
      <b/>
      <sz val="11"/>
      <name val="Calibri"/>
      <family val="2"/>
    </font>
    <font>
      <b/>
      <u val="single"/>
      <sz val="11"/>
      <color indexed="8"/>
      <name val="Calibri"/>
      <family val="2"/>
    </font>
    <font>
      <b/>
      <sz val="11"/>
      <color indexed="10"/>
      <name val="Times New Roman"/>
      <family val="1"/>
    </font>
    <font>
      <sz val="9"/>
      <color indexed="8"/>
      <name val="Calibri"/>
      <family val="2"/>
    </font>
    <font>
      <b/>
      <sz val="12"/>
      <color indexed="8"/>
      <name val="Calibri"/>
      <family val="2"/>
    </font>
    <font>
      <sz val="12"/>
      <color indexed="8"/>
      <name val="Calibri"/>
      <family val="2"/>
    </font>
    <font>
      <sz val="12"/>
      <color indexed="8"/>
      <name val="Tomes"/>
      <family val="0"/>
    </font>
    <font>
      <b/>
      <sz val="10"/>
      <color indexed="8"/>
      <name val="Calibri"/>
      <family val="2"/>
    </font>
    <font>
      <sz val="10"/>
      <color indexed="8"/>
      <name val="Times New Roman"/>
      <family val="1"/>
    </font>
    <font>
      <sz val="9"/>
      <color indexed="8"/>
      <name val="Times New Roman"/>
      <family val="1"/>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Times New Roman"/>
      <family val="1"/>
    </font>
    <font>
      <b/>
      <sz val="11"/>
      <color theme="1"/>
      <name val="Times New Roman"/>
      <family val="1"/>
    </font>
    <font>
      <sz val="11"/>
      <color theme="1"/>
      <name val="Times New Roman"/>
      <family val="1"/>
    </font>
    <font>
      <b/>
      <sz val="12"/>
      <color theme="1"/>
      <name val="Times New Roman"/>
      <family val="1"/>
    </font>
    <font>
      <sz val="12"/>
      <color theme="1"/>
      <name val="Times New Roman"/>
      <family val="1"/>
    </font>
    <font>
      <b/>
      <u val="single"/>
      <sz val="12"/>
      <color theme="1"/>
      <name val="Times New Roman"/>
      <family val="1"/>
    </font>
    <font>
      <b/>
      <sz val="14"/>
      <color theme="1"/>
      <name val="Times New Roman"/>
      <family val="1"/>
    </font>
    <font>
      <b/>
      <u val="single"/>
      <sz val="11"/>
      <color theme="1"/>
      <name val="Calibri"/>
      <family val="2"/>
    </font>
    <font>
      <b/>
      <sz val="11"/>
      <color rgb="FFFF0000"/>
      <name val="Times New Roman"/>
      <family val="1"/>
    </font>
    <font>
      <b/>
      <sz val="11"/>
      <color rgb="FFFF0000"/>
      <name val="Calibri"/>
      <family val="2"/>
    </font>
    <font>
      <sz val="9"/>
      <color theme="1"/>
      <name val="Calibri"/>
      <family val="2"/>
    </font>
    <font>
      <b/>
      <sz val="12"/>
      <color theme="1"/>
      <name val="Calibri"/>
      <family val="2"/>
    </font>
    <font>
      <sz val="12"/>
      <color theme="1"/>
      <name val="Calibri"/>
      <family val="2"/>
    </font>
    <font>
      <sz val="12"/>
      <color theme="1"/>
      <name val="Tomes"/>
      <family val="0"/>
    </font>
    <font>
      <b/>
      <sz val="10"/>
      <color theme="1"/>
      <name val="Calibri"/>
      <family val="2"/>
    </font>
    <font>
      <sz val="10"/>
      <color theme="1"/>
      <name val="Times New Roman"/>
      <family val="1"/>
    </font>
    <font>
      <sz val="9"/>
      <color theme="1"/>
      <name val="Times New Roman"/>
      <family val="1"/>
    </font>
    <font>
      <b/>
      <sz val="10"/>
      <color theme="1"/>
      <name val="Times New Roman"/>
      <family val="1"/>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8" tint="0.7999799847602844"/>
        <bgColor indexed="64"/>
      </patternFill>
    </fill>
    <fill>
      <patternFill patternType="solid">
        <fgColor rgb="FFFFFF0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style="medium"/>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59">
    <xf numFmtId="0" fontId="0" fillId="0" borderId="0" xfId="0" applyFont="1" applyAlignment="1">
      <alignment/>
    </xf>
    <xf numFmtId="0" fontId="62" fillId="0" borderId="0" xfId="0" applyFont="1" applyAlignment="1">
      <alignment/>
    </xf>
    <xf numFmtId="0" fontId="60" fillId="0" borderId="0" xfId="0" applyFont="1" applyAlignment="1">
      <alignment/>
    </xf>
    <xf numFmtId="0" fontId="63" fillId="0" borderId="0" xfId="0" applyFont="1" applyAlignment="1">
      <alignment/>
    </xf>
    <xf numFmtId="0" fontId="64" fillId="0" borderId="0" xfId="0" applyFont="1" applyAlignment="1">
      <alignment/>
    </xf>
    <xf numFmtId="0" fontId="65" fillId="0" borderId="0" xfId="0" applyFont="1" applyAlignment="1">
      <alignment/>
    </xf>
    <xf numFmtId="0" fontId="66" fillId="0" borderId="0" xfId="0" applyFont="1" applyAlignment="1">
      <alignment/>
    </xf>
    <xf numFmtId="0" fontId="67" fillId="0" borderId="0" xfId="0" applyFont="1" applyAlignment="1">
      <alignment/>
    </xf>
    <xf numFmtId="0" fontId="66" fillId="0" borderId="0" xfId="0" applyFont="1" applyAlignment="1" quotePrefix="1">
      <alignment/>
    </xf>
    <xf numFmtId="39" fontId="64" fillId="0" borderId="0" xfId="0" applyNumberFormat="1" applyFont="1" applyAlignment="1">
      <alignment/>
    </xf>
    <xf numFmtId="39" fontId="0" fillId="0" borderId="0" xfId="0" applyNumberFormat="1" applyAlignment="1">
      <alignment/>
    </xf>
    <xf numFmtId="39" fontId="0" fillId="0" borderId="0" xfId="0" applyNumberFormat="1" applyAlignment="1" quotePrefix="1">
      <alignment/>
    </xf>
    <xf numFmtId="39" fontId="63" fillId="0" borderId="0" xfId="0" applyNumberFormat="1" applyFont="1" applyAlignment="1">
      <alignment/>
    </xf>
    <xf numFmtId="39" fontId="60" fillId="0" borderId="0" xfId="0" applyNumberFormat="1" applyFont="1" applyAlignment="1">
      <alignment/>
    </xf>
    <xf numFmtId="0" fontId="68" fillId="0" borderId="0" xfId="0" applyFont="1" applyAlignment="1">
      <alignment/>
    </xf>
    <xf numFmtId="0" fontId="34" fillId="0" borderId="0" xfId="0" applyFont="1" applyBorder="1" applyAlignment="1">
      <alignment/>
    </xf>
    <xf numFmtId="39" fontId="34" fillId="0" borderId="0" xfId="0" applyNumberFormat="1" applyFont="1" applyBorder="1" applyAlignment="1">
      <alignment/>
    </xf>
    <xf numFmtId="0" fontId="34" fillId="0" borderId="0" xfId="0" applyFont="1" applyAlignment="1">
      <alignment/>
    </xf>
    <xf numFmtId="39" fontId="34" fillId="0" borderId="0" xfId="0" applyNumberFormat="1" applyFont="1" applyAlignment="1">
      <alignment/>
    </xf>
    <xf numFmtId="164" fontId="34" fillId="0" borderId="0" xfId="0" applyNumberFormat="1" applyFont="1" applyBorder="1" applyAlignment="1">
      <alignment/>
    </xf>
    <xf numFmtId="0" fontId="34" fillId="33" borderId="0" xfId="0" applyFont="1" applyFill="1" applyBorder="1" applyAlignment="1">
      <alignment/>
    </xf>
    <xf numFmtId="39" fontId="34" fillId="33" borderId="0" xfId="0" applyNumberFormat="1" applyFont="1" applyFill="1" applyBorder="1" applyAlignment="1">
      <alignment/>
    </xf>
    <xf numFmtId="0" fontId="34" fillId="33" borderId="0" xfId="0" applyFont="1" applyFill="1" applyAlignment="1">
      <alignment/>
    </xf>
    <xf numFmtId="39" fontId="34" fillId="33" borderId="0" xfId="0" applyNumberFormat="1" applyFont="1" applyFill="1" applyAlignment="1">
      <alignment/>
    </xf>
    <xf numFmtId="164" fontId="34" fillId="33" borderId="0" xfId="0" applyNumberFormat="1" applyFont="1" applyFill="1" applyBorder="1" applyAlignment="1">
      <alignment/>
    </xf>
    <xf numFmtId="0" fontId="35" fillId="34" borderId="0" xfId="0" applyFont="1" applyFill="1" applyBorder="1" applyAlignment="1">
      <alignment/>
    </xf>
    <xf numFmtId="37" fontId="35" fillId="34" borderId="0" xfId="42" applyNumberFormat="1" applyFont="1" applyFill="1" applyBorder="1" applyAlignment="1">
      <alignment/>
    </xf>
    <xf numFmtId="39" fontId="35" fillId="34" borderId="0" xfId="0" applyNumberFormat="1" applyFont="1" applyFill="1" applyBorder="1" applyAlignment="1">
      <alignment/>
    </xf>
    <xf numFmtId="164" fontId="35" fillId="34" borderId="0" xfId="0" applyNumberFormat="1" applyFont="1" applyFill="1" applyBorder="1" applyAlignment="1">
      <alignment/>
    </xf>
    <xf numFmtId="0" fontId="69" fillId="0" borderId="0" xfId="0" applyFont="1" applyAlignment="1">
      <alignment/>
    </xf>
    <xf numFmtId="37" fontId="0" fillId="0" borderId="0" xfId="0" applyNumberFormat="1" applyAlignment="1">
      <alignment/>
    </xf>
    <xf numFmtId="39" fontId="66" fillId="0" borderId="0" xfId="0" applyNumberFormat="1" applyFont="1" applyAlignment="1">
      <alignment/>
    </xf>
    <xf numFmtId="0" fontId="60" fillId="0" borderId="0" xfId="0" applyFont="1" applyAlignment="1">
      <alignment horizontal="center"/>
    </xf>
    <xf numFmtId="37" fontId="34" fillId="33" borderId="0" xfId="0" applyNumberFormat="1" applyFont="1" applyFill="1" applyBorder="1" applyAlignment="1">
      <alignment/>
    </xf>
    <xf numFmtId="0" fontId="34" fillId="0" borderId="0" xfId="0" applyFont="1" applyBorder="1" applyAlignment="1">
      <alignment horizontal="center"/>
    </xf>
    <xf numFmtId="39" fontId="34" fillId="0" borderId="0" xfId="0" applyNumberFormat="1" applyFont="1" applyBorder="1" applyAlignment="1">
      <alignment horizontal="center"/>
    </xf>
    <xf numFmtId="37" fontId="34" fillId="0" borderId="0" xfId="0" applyNumberFormat="1" applyFont="1" applyAlignment="1">
      <alignment/>
    </xf>
    <xf numFmtId="0" fontId="35" fillId="34" borderId="0" xfId="0" applyFont="1" applyFill="1" applyBorder="1" applyAlignment="1">
      <alignment horizontal="left"/>
    </xf>
    <xf numFmtId="0" fontId="34" fillId="34" borderId="0" xfId="0" applyFont="1" applyFill="1" applyBorder="1" applyAlignment="1">
      <alignment horizontal="center"/>
    </xf>
    <xf numFmtId="37" fontId="35" fillId="34" borderId="0" xfId="42" applyNumberFormat="1" applyFont="1" applyFill="1" applyBorder="1" applyAlignment="1">
      <alignment horizontal="right"/>
    </xf>
    <xf numFmtId="39" fontId="64" fillId="0" borderId="0" xfId="42" applyNumberFormat="1" applyFont="1" applyAlignment="1">
      <alignment/>
    </xf>
    <xf numFmtId="0" fontId="64" fillId="0" borderId="0" xfId="0" applyFont="1" applyAlignment="1" quotePrefix="1">
      <alignment/>
    </xf>
    <xf numFmtId="0" fontId="70" fillId="0" borderId="0" xfId="0" applyFont="1" applyAlignment="1">
      <alignment/>
    </xf>
    <xf numFmtId="39" fontId="70" fillId="0" borderId="0" xfId="0" applyNumberFormat="1" applyFont="1" applyAlignment="1">
      <alignment/>
    </xf>
    <xf numFmtId="39" fontId="71" fillId="0" borderId="0" xfId="0" applyNumberFormat="1" applyFont="1" applyAlignment="1">
      <alignment/>
    </xf>
    <xf numFmtId="39" fontId="64" fillId="0" borderId="10" xfId="0" applyNumberFormat="1" applyFont="1" applyBorder="1" applyAlignment="1">
      <alignment/>
    </xf>
    <xf numFmtId="39" fontId="0" fillId="0" borderId="10" xfId="0" applyNumberFormat="1" applyBorder="1" applyAlignment="1">
      <alignment/>
    </xf>
    <xf numFmtId="39" fontId="64" fillId="0" borderId="0" xfId="0" applyNumberFormat="1" applyFont="1" applyBorder="1" applyAlignment="1">
      <alignment/>
    </xf>
    <xf numFmtId="39" fontId="0" fillId="0" borderId="10" xfId="0" applyNumberFormat="1" applyFont="1" applyBorder="1" applyAlignment="1">
      <alignment/>
    </xf>
    <xf numFmtId="39" fontId="65" fillId="0" borderId="11" xfId="0" applyNumberFormat="1" applyFont="1" applyBorder="1" applyAlignment="1">
      <alignment/>
    </xf>
    <xf numFmtId="0" fontId="63" fillId="0" borderId="0" xfId="0" applyFont="1" applyAlignment="1">
      <alignment horizontal="center"/>
    </xf>
    <xf numFmtId="0" fontId="70" fillId="35" borderId="0" xfId="0" applyFont="1" applyFill="1" applyAlignment="1">
      <alignment/>
    </xf>
    <xf numFmtId="39" fontId="64" fillId="35" borderId="0" xfId="0" applyNumberFormat="1" applyFont="1" applyFill="1" applyAlignment="1">
      <alignment/>
    </xf>
    <xf numFmtId="39" fontId="0" fillId="35" borderId="0" xfId="0" applyNumberFormat="1" applyFill="1" applyAlignment="1">
      <alignment/>
    </xf>
    <xf numFmtId="0" fontId="60" fillId="35" borderId="0" xfId="0" applyFont="1" applyFill="1" applyAlignment="1">
      <alignment/>
    </xf>
    <xf numFmtId="0" fontId="60" fillId="35" borderId="0" xfId="0" applyFont="1" applyFill="1" applyAlignment="1">
      <alignment horizontal="right"/>
    </xf>
    <xf numFmtId="0" fontId="60" fillId="0" borderId="0" xfId="0" applyFont="1" applyFill="1" applyAlignment="1">
      <alignment/>
    </xf>
    <xf numFmtId="0" fontId="0" fillId="0" borderId="0" xfId="0" applyAlignment="1">
      <alignment horizontal="right"/>
    </xf>
    <xf numFmtId="0" fontId="0" fillId="0" borderId="12" xfId="0" applyBorder="1" applyAlignment="1">
      <alignment vertical="top" wrapText="1"/>
    </xf>
    <xf numFmtId="0" fontId="0" fillId="0" borderId="13" xfId="0" applyBorder="1" applyAlignment="1">
      <alignment vertical="top" wrapText="1"/>
    </xf>
    <xf numFmtId="0" fontId="0" fillId="0" borderId="0"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60" fillId="0" borderId="0" xfId="0" applyFont="1" applyFill="1" applyBorder="1" applyAlignment="1">
      <alignment horizontal="right"/>
    </xf>
    <xf numFmtId="0" fontId="0" fillId="0" borderId="0" xfId="0" applyFill="1" applyAlignment="1">
      <alignment/>
    </xf>
    <xf numFmtId="0" fontId="60" fillId="0" borderId="0" xfId="0" applyFont="1" applyBorder="1" applyAlignment="1">
      <alignment horizontal="center"/>
    </xf>
    <xf numFmtId="0" fontId="0" fillId="0" borderId="0" xfId="0" applyBorder="1" applyAlignment="1">
      <alignment/>
    </xf>
    <xf numFmtId="39" fontId="64" fillId="0" borderId="0" xfId="0" applyNumberFormat="1" applyFont="1" applyFill="1" applyAlignment="1">
      <alignment horizontal="center"/>
    </xf>
    <xf numFmtId="0" fontId="71" fillId="0" borderId="16" xfId="0" applyFont="1" applyBorder="1" applyAlignment="1">
      <alignment/>
    </xf>
    <xf numFmtId="37" fontId="71" fillId="0" borderId="16" xfId="0" applyNumberFormat="1" applyFont="1" applyBorder="1" applyAlignment="1">
      <alignment/>
    </xf>
    <xf numFmtId="39" fontId="71" fillId="0" borderId="16" xfId="0" applyNumberFormat="1" applyFont="1" applyBorder="1" applyAlignment="1">
      <alignment horizontal="center"/>
    </xf>
    <xf numFmtId="39" fontId="71" fillId="0" borderId="16" xfId="0" applyNumberFormat="1" applyFont="1" applyFill="1" applyBorder="1" applyAlignment="1">
      <alignment horizontal="center"/>
    </xf>
    <xf numFmtId="39" fontId="71" fillId="0" borderId="16" xfId="0" applyNumberFormat="1" applyFont="1" applyBorder="1" applyAlignment="1">
      <alignment/>
    </xf>
    <xf numFmtId="0" fontId="71" fillId="0" borderId="0" xfId="0" applyFont="1" applyBorder="1" applyAlignment="1">
      <alignment/>
    </xf>
    <xf numFmtId="3" fontId="0" fillId="0" borderId="0" xfId="0" applyNumberFormat="1" applyAlignment="1">
      <alignment/>
    </xf>
    <xf numFmtId="0" fontId="72" fillId="0" borderId="0" xfId="0" applyFont="1" applyAlignment="1" quotePrefix="1">
      <alignment/>
    </xf>
    <xf numFmtId="39" fontId="0" fillId="0" borderId="0" xfId="42" applyNumberFormat="1" applyFont="1" applyAlignment="1">
      <alignment/>
    </xf>
    <xf numFmtId="43" fontId="0" fillId="0" borderId="0" xfId="42" applyFont="1" applyAlignment="1">
      <alignment/>
    </xf>
    <xf numFmtId="0" fontId="72" fillId="0" borderId="0" xfId="0" applyFont="1" applyAlignment="1">
      <alignment/>
    </xf>
    <xf numFmtId="39" fontId="0" fillId="0" borderId="0" xfId="0" applyNumberFormat="1" applyBorder="1" applyAlignment="1">
      <alignment/>
    </xf>
    <xf numFmtId="39" fontId="0" fillId="0" borderId="0" xfId="42" applyNumberFormat="1" applyFont="1" applyBorder="1" applyAlignment="1">
      <alignment/>
    </xf>
    <xf numFmtId="0" fontId="0" fillId="35" borderId="16" xfId="0" applyFill="1" applyBorder="1" applyAlignment="1">
      <alignment/>
    </xf>
    <xf numFmtId="0" fontId="0" fillId="35" borderId="16" xfId="0" applyFill="1" applyBorder="1" applyAlignment="1" quotePrefix="1">
      <alignment/>
    </xf>
    <xf numFmtId="39" fontId="0" fillId="35" borderId="16" xfId="0" applyNumberFormat="1" applyFill="1" applyBorder="1" applyAlignment="1">
      <alignment/>
    </xf>
    <xf numFmtId="39" fontId="0" fillId="35" borderId="16" xfId="42" applyNumberFormat="1" applyFont="1" applyFill="1" applyBorder="1" applyAlignment="1">
      <alignment/>
    </xf>
    <xf numFmtId="0" fontId="0" fillId="0" borderId="17" xfId="0" applyFill="1" applyBorder="1" applyAlignment="1">
      <alignment/>
    </xf>
    <xf numFmtId="0" fontId="0" fillId="0" borderId="17" xfId="0" applyFill="1" applyBorder="1" applyAlignment="1" quotePrefix="1">
      <alignment/>
    </xf>
    <xf numFmtId="39" fontId="0" fillId="0" borderId="17" xfId="0" applyNumberFormat="1" applyFill="1" applyBorder="1" applyAlignment="1">
      <alignment/>
    </xf>
    <xf numFmtId="39" fontId="0" fillId="0" borderId="17" xfId="42" applyNumberFormat="1" applyFont="1" applyFill="1" applyBorder="1" applyAlignment="1">
      <alignment/>
    </xf>
    <xf numFmtId="0" fontId="60" fillId="36" borderId="11" xfId="0" applyFont="1" applyFill="1" applyBorder="1" applyAlignment="1">
      <alignment/>
    </xf>
    <xf numFmtId="0" fontId="60" fillId="36" borderId="11" xfId="0" applyFont="1" applyFill="1" applyBorder="1" applyAlignment="1" quotePrefix="1">
      <alignment/>
    </xf>
    <xf numFmtId="39" fontId="60" fillId="36" borderId="11" xfId="0" applyNumberFormat="1" applyFont="1" applyFill="1" applyBorder="1" applyAlignment="1">
      <alignment/>
    </xf>
    <xf numFmtId="39" fontId="60" fillId="36" borderId="11" xfId="42" applyNumberFormat="1" applyFont="1" applyFill="1" applyBorder="1" applyAlignment="1">
      <alignment/>
    </xf>
    <xf numFmtId="0" fontId="60" fillId="0" borderId="0" xfId="0" applyFont="1" applyFill="1" applyBorder="1" applyAlignment="1">
      <alignment/>
    </xf>
    <xf numFmtId="0" fontId="60" fillId="0" borderId="0" xfId="0" applyFont="1" applyFill="1" applyBorder="1" applyAlignment="1" quotePrefix="1">
      <alignment/>
    </xf>
    <xf numFmtId="39" fontId="60" fillId="0" borderId="0" xfId="0" applyNumberFormat="1" applyFont="1" applyFill="1" applyBorder="1" applyAlignment="1">
      <alignment/>
    </xf>
    <xf numFmtId="39" fontId="60" fillId="0" borderId="0" xfId="42" applyNumberFormat="1" applyFont="1" applyFill="1" applyBorder="1" applyAlignment="1">
      <alignment/>
    </xf>
    <xf numFmtId="0" fontId="0" fillId="0" borderId="0" xfId="0" applyFill="1" applyBorder="1" applyAlignment="1">
      <alignment/>
    </xf>
    <xf numFmtId="0" fontId="0" fillId="0" borderId="0" xfId="0" applyFill="1" applyBorder="1" applyAlignment="1" quotePrefix="1">
      <alignment/>
    </xf>
    <xf numFmtId="39" fontId="60" fillId="0" borderId="0" xfId="0" applyNumberFormat="1" applyFont="1" applyFill="1" applyBorder="1" applyAlignment="1">
      <alignment horizontal="center"/>
    </xf>
    <xf numFmtId="39" fontId="0" fillId="0" borderId="0" xfId="0" applyNumberFormat="1" applyFill="1" applyBorder="1" applyAlignment="1">
      <alignment/>
    </xf>
    <xf numFmtId="39" fontId="0" fillId="0" borderId="0" xfId="42" applyNumberFormat="1" applyFont="1" applyFill="1" applyBorder="1" applyAlignment="1">
      <alignment/>
    </xf>
    <xf numFmtId="39" fontId="0" fillId="0" borderId="0" xfId="0" applyNumberFormat="1" applyFill="1" applyBorder="1" applyAlignment="1" quotePrefix="1">
      <alignment/>
    </xf>
    <xf numFmtId="39" fontId="60" fillId="36" borderId="11" xfId="0" applyNumberFormat="1" applyFont="1" applyFill="1" applyBorder="1" applyAlignment="1" quotePrefix="1">
      <alignment/>
    </xf>
    <xf numFmtId="39" fontId="60" fillId="0" borderId="0" xfId="0" applyNumberFormat="1" applyFont="1" applyFill="1" applyBorder="1" applyAlignment="1" quotePrefix="1">
      <alignment/>
    </xf>
    <xf numFmtId="0" fontId="0" fillId="0" borderId="0" xfId="0" applyAlignment="1" quotePrefix="1">
      <alignment/>
    </xf>
    <xf numFmtId="0" fontId="60" fillId="37" borderId="18" xfId="0" applyFont="1" applyFill="1" applyBorder="1" applyAlignment="1">
      <alignment/>
    </xf>
    <xf numFmtId="0" fontId="60" fillId="37" borderId="18" xfId="0" applyFont="1" applyFill="1" applyBorder="1" applyAlignment="1" quotePrefix="1">
      <alignment/>
    </xf>
    <xf numFmtId="39" fontId="60" fillId="37" borderId="18" xfId="42" applyNumberFormat="1" applyFont="1" applyFill="1" applyBorder="1" applyAlignment="1">
      <alignment/>
    </xf>
    <xf numFmtId="39" fontId="60" fillId="37" borderId="18" xfId="0" applyNumberFormat="1" applyFont="1" applyFill="1" applyBorder="1" applyAlignment="1">
      <alignment/>
    </xf>
    <xf numFmtId="0" fontId="60" fillId="37" borderId="11" xfId="0" applyFont="1" applyFill="1" applyBorder="1" applyAlignment="1">
      <alignment/>
    </xf>
    <xf numFmtId="39" fontId="60" fillId="37" borderId="11" xfId="0" applyNumberFormat="1" applyFont="1" applyFill="1" applyBorder="1" applyAlignment="1" quotePrefix="1">
      <alignment/>
    </xf>
    <xf numFmtId="39" fontId="60" fillId="37" borderId="11" xfId="42" applyNumberFormat="1" applyFont="1" applyFill="1" applyBorder="1" applyAlignment="1">
      <alignment/>
    </xf>
    <xf numFmtId="166" fontId="0" fillId="0" borderId="0" xfId="0" applyNumberFormat="1" applyAlignment="1">
      <alignment/>
    </xf>
    <xf numFmtId="37" fontId="0" fillId="0" borderId="0" xfId="42" applyNumberFormat="1" applyFont="1" applyAlignment="1">
      <alignment/>
    </xf>
    <xf numFmtId="39" fontId="60" fillId="0" borderId="0" xfId="0" applyNumberFormat="1" applyFont="1" applyAlignment="1">
      <alignment horizontal="center"/>
    </xf>
    <xf numFmtId="39" fontId="0" fillId="35" borderId="0" xfId="42" applyNumberFormat="1" applyFont="1" applyFill="1" applyAlignment="1">
      <alignment/>
    </xf>
    <xf numFmtId="37" fontId="0" fillId="0" borderId="0" xfId="0" applyNumberFormat="1" applyAlignment="1">
      <alignment/>
    </xf>
    <xf numFmtId="37" fontId="0" fillId="0" borderId="0" xfId="0" applyNumberFormat="1" applyAlignment="1" quotePrefix="1">
      <alignment/>
    </xf>
    <xf numFmtId="39" fontId="0" fillId="37" borderId="0" xfId="42" applyNumberFormat="1" applyFont="1" applyFill="1" applyAlignment="1">
      <alignment/>
    </xf>
    <xf numFmtId="0" fontId="0" fillId="0" borderId="0" xfId="0" applyFont="1" applyAlignment="1">
      <alignment/>
    </xf>
    <xf numFmtId="0" fontId="0" fillId="0" borderId="0" xfId="0" applyFont="1" applyFill="1" applyAlignment="1">
      <alignment/>
    </xf>
    <xf numFmtId="39" fontId="0" fillId="37" borderId="18" xfId="0" applyNumberFormat="1" applyFont="1" applyFill="1" applyBorder="1" applyAlignment="1">
      <alignment/>
    </xf>
    <xf numFmtId="0" fontId="0" fillId="35" borderId="0" xfId="0" applyFill="1" applyAlignment="1">
      <alignment/>
    </xf>
    <xf numFmtId="0" fontId="0" fillId="37" borderId="18" xfId="0" applyFill="1" applyBorder="1" applyAlignment="1">
      <alignment/>
    </xf>
    <xf numFmtId="0" fontId="0" fillId="37" borderId="18" xfId="0" applyFill="1" applyBorder="1" applyAlignment="1" quotePrefix="1">
      <alignment/>
    </xf>
    <xf numFmtId="39" fontId="0" fillId="37" borderId="18" xfId="42" applyNumberFormat="1" applyFont="1" applyFill="1" applyBorder="1" applyAlignment="1">
      <alignment/>
    </xf>
    <xf numFmtId="39" fontId="0" fillId="37" borderId="18" xfId="0" applyNumberFormat="1" applyFill="1" applyBorder="1" applyAlignment="1">
      <alignment/>
    </xf>
    <xf numFmtId="0" fontId="0" fillId="0" borderId="0" xfId="0" applyAlignment="1">
      <alignment horizontal="center"/>
    </xf>
    <xf numFmtId="0" fontId="60" fillId="38" borderId="18" xfId="0" applyFont="1" applyFill="1" applyBorder="1" applyAlignment="1">
      <alignment/>
    </xf>
    <xf numFmtId="0" fontId="60" fillId="38" borderId="18" xfId="0" applyFont="1" applyFill="1" applyBorder="1" applyAlignment="1" quotePrefix="1">
      <alignment/>
    </xf>
    <xf numFmtId="39" fontId="60" fillId="38" borderId="18" xfId="42" applyNumberFormat="1" applyFont="1" applyFill="1" applyBorder="1" applyAlignment="1">
      <alignment/>
    </xf>
    <xf numFmtId="39" fontId="60" fillId="38" borderId="18" xfId="0" applyNumberFormat="1" applyFont="1" applyFill="1" applyBorder="1" applyAlignment="1">
      <alignment/>
    </xf>
    <xf numFmtId="0" fontId="60" fillId="0" borderId="0" xfId="0" applyFont="1" applyFill="1" applyBorder="1" applyAlignment="1">
      <alignment/>
    </xf>
    <xf numFmtId="0" fontId="0" fillId="0" borderId="0" xfId="0" applyAlignment="1">
      <alignment/>
    </xf>
    <xf numFmtId="39" fontId="60" fillId="0" borderId="0" xfId="0" applyNumberFormat="1" applyFont="1" applyFill="1" applyBorder="1" applyAlignment="1">
      <alignment/>
    </xf>
    <xf numFmtId="39" fontId="60" fillId="35" borderId="0" xfId="0" applyNumberFormat="1" applyFont="1" applyFill="1" applyBorder="1" applyAlignment="1">
      <alignment/>
    </xf>
    <xf numFmtId="0" fontId="60" fillId="37" borderId="0" xfId="0" applyFont="1" applyFill="1" applyAlignment="1">
      <alignment/>
    </xf>
    <xf numFmtId="0" fontId="0" fillId="0" borderId="0" xfId="0" applyFont="1" applyFill="1" applyBorder="1" applyAlignment="1">
      <alignment/>
    </xf>
    <xf numFmtId="39" fontId="0" fillId="0" borderId="0" xfId="0" applyNumberFormat="1" applyAlignment="1">
      <alignment/>
    </xf>
    <xf numFmtId="39" fontId="0" fillId="0" borderId="0" xfId="0" applyNumberFormat="1" applyFont="1" applyFill="1" applyBorder="1" applyAlignment="1">
      <alignment/>
    </xf>
    <xf numFmtId="39" fontId="0" fillId="0" borderId="0" xfId="0" applyNumberFormat="1" applyFont="1" applyFill="1" applyBorder="1" applyAlignment="1">
      <alignment/>
    </xf>
    <xf numFmtId="39" fontId="0" fillId="0" borderId="0" xfId="42" applyNumberFormat="1" applyFont="1" applyFill="1" applyAlignment="1">
      <alignment/>
    </xf>
    <xf numFmtId="43" fontId="60" fillId="0" borderId="0" xfId="42" applyFont="1" applyAlignment="1">
      <alignment horizontal="center"/>
    </xf>
    <xf numFmtId="167" fontId="0" fillId="0" borderId="0" xfId="0" applyNumberFormat="1" applyAlignment="1">
      <alignment/>
    </xf>
    <xf numFmtId="0" fontId="60" fillId="0" borderId="0" xfId="0" applyFont="1" applyAlignment="1" quotePrefix="1">
      <alignment/>
    </xf>
    <xf numFmtId="167" fontId="60" fillId="0" borderId="0" xfId="0" applyNumberFormat="1" applyFont="1" applyAlignment="1" quotePrefix="1">
      <alignment/>
    </xf>
    <xf numFmtId="43" fontId="60" fillId="0" borderId="0" xfId="42" applyFont="1" applyAlignment="1">
      <alignment/>
    </xf>
    <xf numFmtId="39" fontId="60" fillId="0" borderId="0" xfId="0" applyNumberFormat="1" applyFont="1" applyAlignment="1" quotePrefix="1">
      <alignment/>
    </xf>
    <xf numFmtId="43" fontId="60" fillId="35" borderId="0" xfId="42" applyFont="1" applyFill="1" applyAlignment="1">
      <alignment/>
    </xf>
    <xf numFmtId="168" fontId="0" fillId="0" borderId="0" xfId="0" applyNumberFormat="1" applyAlignment="1">
      <alignment/>
    </xf>
    <xf numFmtId="169" fontId="0" fillId="0" borderId="0" xfId="0" applyNumberFormat="1" applyAlignment="1">
      <alignment/>
    </xf>
    <xf numFmtId="39" fontId="0" fillId="0" borderId="0" xfId="0" applyNumberFormat="1" applyFill="1" applyAlignment="1">
      <alignment/>
    </xf>
    <xf numFmtId="166" fontId="0" fillId="0" borderId="0" xfId="0" applyNumberFormat="1" applyFill="1" applyAlignment="1">
      <alignment/>
    </xf>
    <xf numFmtId="43" fontId="0" fillId="0" borderId="0" xfId="0" applyNumberFormat="1" applyAlignment="1">
      <alignment/>
    </xf>
    <xf numFmtId="39" fontId="71" fillId="0" borderId="0" xfId="0" applyNumberFormat="1" applyFont="1" applyFill="1" applyAlignment="1">
      <alignment/>
    </xf>
    <xf numFmtId="43" fontId="71" fillId="0" borderId="0" xfId="42" applyFont="1" applyAlignment="1">
      <alignment/>
    </xf>
    <xf numFmtId="0" fontId="60" fillId="35" borderId="0" xfId="0" applyFont="1" applyFill="1" applyAlignment="1">
      <alignment horizontal="center"/>
    </xf>
    <xf numFmtId="0" fontId="71" fillId="0" borderId="0" xfId="0" applyFont="1" applyFill="1" applyBorder="1" applyAlignment="1">
      <alignment/>
    </xf>
    <xf numFmtId="39" fontId="71" fillId="35" borderId="0" xfId="0" applyNumberFormat="1" applyFont="1" applyFill="1" applyAlignment="1">
      <alignment/>
    </xf>
    <xf numFmtId="43" fontId="71" fillId="35" borderId="0" xfId="42" applyFont="1" applyFill="1" applyAlignment="1">
      <alignment/>
    </xf>
    <xf numFmtId="0" fontId="60" fillId="37" borderId="0" xfId="0" applyFont="1" applyFill="1" applyBorder="1" applyAlignment="1">
      <alignment/>
    </xf>
    <xf numFmtId="43" fontId="71" fillId="0" borderId="0" xfId="42" applyFont="1" applyFill="1" applyAlignment="1">
      <alignment/>
    </xf>
    <xf numFmtId="43" fontId="0" fillId="35" borderId="0" xfId="42" applyFont="1" applyFill="1" applyAlignment="1">
      <alignment/>
    </xf>
    <xf numFmtId="43" fontId="71" fillId="0" borderId="0" xfId="0" applyNumberFormat="1" applyFont="1" applyAlignment="1">
      <alignment/>
    </xf>
    <xf numFmtId="43" fontId="71" fillId="35" borderId="0" xfId="0" applyNumberFormat="1" applyFont="1" applyFill="1" applyAlignment="1">
      <alignment/>
    </xf>
    <xf numFmtId="43" fontId="60" fillId="37" borderId="0" xfId="0" applyNumberFormat="1" applyFont="1" applyFill="1" applyAlignment="1">
      <alignment/>
    </xf>
    <xf numFmtId="43" fontId="60" fillId="37" borderId="0" xfId="42" applyFont="1" applyFill="1" applyAlignment="1">
      <alignment/>
    </xf>
    <xf numFmtId="0" fontId="73" fillId="38" borderId="0" xfId="0" applyFont="1" applyFill="1" applyAlignment="1">
      <alignment/>
    </xf>
    <xf numFmtId="43" fontId="73" fillId="38" borderId="0" xfId="0" applyNumberFormat="1" applyFont="1" applyFill="1" applyAlignment="1">
      <alignment/>
    </xf>
    <xf numFmtId="0" fontId="62" fillId="35" borderId="0" xfId="0" applyFont="1" applyFill="1" applyAlignment="1">
      <alignment/>
    </xf>
    <xf numFmtId="0" fontId="69" fillId="35" borderId="0" xfId="0" applyFont="1" applyFill="1" applyAlignment="1">
      <alignment horizontal="center"/>
    </xf>
    <xf numFmtId="39" fontId="69" fillId="35" borderId="0" xfId="42" applyNumberFormat="1" applyFont="1" applyFill="1" applyAlignment="1">
      <alignment horizontal="center"/>
    </xf>
    <xf numFmtId="0" fontId="69" fillId="35" borderId="0" xfId="0" applyFont="1" applyFill="1" applyAlignment="1">
      <alignment/>
    </xf>
    <xf numFmtId="0" fontId="60" fillId="0" borderId="0" xfId="0" applyFont="1" applyFill="1" applyBorder="1" applyAlignment="1">
      <alignment horizontal="center"/>
    </xf>
    <xf numFmtId="0" fontId="60" fillId="35" borderId="0" xfId="0" applyFont="1" applyFill="1" applyBorder="1" applyAlignment="1">
      <alignment/>
    </xf>
    <xf numFmtId="0" fontId="60" fillId="35" borderId="0" xfId="0" applyFont="1" applyFill="1" applyAlignment="1">
      <alignment/>
    </xf>
    <xf numFmtId="43" fontId="0" fillId="0" borderId="0" xfId="42" applyFont="1" applyAlignment="1">
      <alignment/>
    </xf>
    <xf numFmtId="0" fontId="69" fillId="0" borderId="0" xfId="0" applyFont="1" applyAlignment="1">
      <alignment horizontal="center"/>
    </xf>
    <xf numFmtId="39" fontId="69" fillId="0" borderId="0" xfId="0" applyNumberFormat="1" applyFont="1" applyFill="1" applyBorder="1" applyAlignment="1">
      <alignment/>
    </xf>
    <xf numFmtId="37" fontId="60" fillId="0" borderId="0" xfId="0" applyNumberFormat="1" applyFont="1" applyFill="1" applyBorder="1" applyAlignment="1">
      <alignment/>
    </xf>
    <xf numFmtId="39" fontId="60" fillId="36" borderId="0" xfId="0" applyNumberFormat="1" applyFont="1" applyFill="1" applyBorder="1" applyAlignment="1">
      <alignment/>
    </xf>
    <xf numFmtId="0" fontId="60" fillId="35" borderId="0" xfId="0" applyFont="1" applyFill="1" applyBorder="1" applyAlignment="1">
      <alignment/>
    </xf>
    <xf numFmtId="0" fontId="69" fillId="0" borderId="0" xfId="0" applyFont="1" applyFill="1" applyBorder="1" applyAlignment="1">
      <alignment horizontal="right"/>
    </xf>
    <xf numFmtId="39" fontId="69" fillId="0" borderId="0" xfId="42" applyNumberFormat="1" applyFont="1" applyFill="1" applyBorder="1" applyAlignment="1">
      <alignment horizontal="center"/>
    </xf>
    <xf numFmtId="43" fontId="0" fillId="0" borderId="0" xfId="42" applyFont="1" applyFill="1" applyAlignment="1">
      <alignment/>
    </xf>
    <xf numFmtId="0" fontId="0" fillId="0" borderId="0" xfId="0" applyFont="1" applyFill="1" applyAlignment="1">
      <alignment/>
    </xf>
    <xf numFmtId="0" fontId="0" fillId="0" borderId="0" xfId="0" applyFill="1" applyAlignment="1">
      <alignment/>
    </xf>
    <xf numFmtId="0" fontId="60" fillId="0" borderId="0" xfId="0" applyFont="1" applyFill="1" applyAlignment="1">
      <alignment/>
    </xf>
    <xf numFmtId="0" fontId="69" fillId="0" borderId="0" xfId="0" applyFont="1" applyFill="1" applyAlignment="1">
      <alignment horizontal="center"/>
    </xf>
    <xf numFmtId="0" fontId="69" fillId="0" borderId="0" xfId="0" applyFont="1" applyFill="1" applyBorder="1" applyAlignment="1">
      <alignment/>
    </xf>
    <xf numFmtId="39" fontId="69" fillId="0" borderId="0" xfId="0" applyNumberFormat="1" applyFont="1" applyFill="1" applyBorder="1" applyAlignment="1">
      <alignment horizontal="center"/>
    </xf>
    <xf numFmtId="43" fontId="0" fillId="0" borderId="0" xfId="42" applyFont="1" applyFill="1" applyAlignment="1">
      <alignment/>
    </xf>
    <xf numFmtId="37" fontId="0" fillId="0" borderId="0" xfId="0" applyNumberFormat="1" applyFill="1" applyAlignment="1">
      <alignment/>
    </xf>
    <xf numFmtId="43" fontId="0" fillId="0" borderId="0" xfId="42" applyFont="1" applyFill="1" applyBorder="1" applyAlignment="1">
      <alignment/>
    </xf>
    <xf numFmtId="43" fontId="60" fillId="0" borderId="0" xfId="42" applyFont="1" applyFill="1" applyBorder="1" applyAlignment="1">
      <alignment/>
    </xf>
    <xf numFmtId="37" fontId="60" fillId="0" borderId="0" xfId="0" applyNumberFormat="1" applyFont="1" applyFill="1" applyBorder="1" applyAlignment="1">
      <alignment/>
    </xf>
    <xf numFmtId="37" fontId="0" fillId="0" borderId="0" xfId="0" applyNumberFormat="1" applyFill="1" applyBorder="1" applyAlignment="1">
      <alignment/>
    </xf>
    <xf numFmtId="39" fontId="64" fillId="0" borderId="0" xfId="0" applyNumberFormat="1" applyFont="1" applyFill="1" applyBorder="1" applyAlignment="1">
      <alignment horizontal="center"/>
    </xf>
    <xf numFmtId="37" fontId="71" fillId="0" borderId="0" xfId="0" applyNumberFormat="1" applyFont="1" applyFill="1" applyBorder="1" applyAlignment="1">
      <alignment/>
    </xf>
    <xf numFmtId="39" fontId="71" fillId="0" borderId="0" xfId="0" applyNumberFormat="1" applyFont="1" applyFill="1" applyBorder="1" applyAlignment="1">
      <alignment horizontal="center"/>
    </xf>
    <xf numFmtId="39" fontId="71" fillId="0" borderId="0" xfId="0" applyNumberFormat="1" applyFont="1" applyFill="1" applyBorder="1" applyAlignment="1">
      <alignment/>
    </xf>
    <xf numFmtId="39" fontId="60" fillId="37" borderId="0" xfId="0" applyNumberFormat="1" applyFont="1" applyFill="1" applyBorder="1" applyAlignment="1">
      <alignment/>
    </xf>
    <xf numFmtId="39" fontId="60" fillId="37" borderId="0" xfId="0" applyNumberFormat="1" applyFont="1" applyFill="1" applyBorder="1" applyAlignment="1">
      <alignment/>
    </xf>
    <xf numFmtId="0" fontId="65" fillId="35" borderId="0" xfId="0" applyFont="1" applyFill="1" applyAlignment="1">
      <alignment/>
    </xf>
    <xf numFmtId="39" fontId="63" fillId="35" borderId="0" xfId="0" applyNumberFormat="1" applyFont="1" applyFill="1" applyAlignment="1">
      <alignment/>
    </xf>
    <xf numFmtId="37" fontId="63" fillId="35" borderId="0" xfId="0" applyNumberFormat="1" applyFont="1" applyFill="1" applyAlignment="1">
      <alignment/>
    </xf>
    <xf numFmtId="0" fontId="6" fillId="0" borderId="0" xfId="0" applyFont="1" applyAlignment="1">
      <alignment/>
    </xf>
    <xf numFmtId="0" fontId="65" fillId="0" borderId="0" xfId="0" applyFont="1" applyFill="1" applyAlignment="1">
      <alignment/>
    </xf>
    <xf numFmtId="0" fontId="6" fillId="0" borderId="0" xfId="0" applyFont="1" applyAlignment="1">
      <alignment/>
    </xf>
    <xf numFmtId="0" fontId="6" fillId="35" borderId="0" xfId="0" applyFont="1" applyFill="1" applyAlignment="1">
      <alignment/>
    </xf>
    <xf numFmtId="0" fontId="6" fillId="0" borderId="0" xfId="0" applyFont="1" applyFill="1" applyAlignment="1">
      <alignment/>
    </xf>
    <xf numFmtId="0" fontId="0" fillId="0" borderId="0" xfId="0" applyFill="1" applyAlignment="1">
      <alignment horizontal="center"/>
    </xf>
    <xf numFmtId="39" fontId="0" fillId="0" borderId="0" xfId="0" applyNumberFormat="1" applyFont="1" applyFill="1" applyAlignment="1">
      <alignment/>
    </xf>
    <xf numFmtId="37" fontId="0" fillId="0" borderId="0" xfId="0" applyNumberFormat="1" applyFont="1" applyFill="1" applyBorder="1" applyAlignment="1">
      <alignment/>
    </xf>
    <xf numFmtId="43" fontId="0" fillId="0" borderId="0" xfId="0" applyNumberFormat="1" applyFont="1" applyFill="1" applyBorder="1" applyAlignment="1">
      <alignment/>
    </xf>
    <xf numFmtId="0" fontId="0" fillId="0" borderId="0" xfId="0" applyFont="1" applyFill="1" applyBorder="1" applyAlignment="1">
      <alignment/>
    </xf>
    <xf numFmtId="0" fontId="66" fillId="0" borderId="0" xfId="0" applyFont="1" applyFill="1" applyAlignment="1">
      <alignment/>
    </xf>
    <xf numFmtId="0" fontId="67" fillId="35" borderId="0" xfId="0" applyFont="1" applyFill="1" applyAlignment="1">
      <alignment/>
    </xf>
    <xf numFmtId="43" fontId="60" fillId="0" borderId="0" xfId="42" applyFont="1" applyFill="1" applyAlignment="1">
      <alignment horizontal="right"/>
    </xf>
    <xf numFmtId="0" fontId="60" fillId="0" borderId="0" xfId="0" applyFont="1" applyFill="1" applyAlignment="1">
      <alignment horizontal="right"/>
    </xf>
    <xf numFmtId="37" fontId="0" fillId="0" borderId="0" xfId="42" applyNumberFormat="1" applyFont="1" applyFill="1" applyAlignment="1">
      <alignment/>
    </xf>
    <xf numFmtId="43" fontId="0" fillId="0" borderId="0" xfId="0" applyNumberFormat="1" applyFill="1" applyAlignment="1">
      <alignment/>
    </xf>
    <xf numFmtId="43" fontId="60" fillId="35" borderId="0" xfId="0" applyNumberFormat="1" applyFont="1" applyFill="1" applyAlignment="1">
      <alignment/>
    </xf>
    <xf numFmtId="0" fontId="7" fillId="0" borderId="0" xfId="0" applyFont="1" applyFill="1" applyAlignment="1">
      <alignment/>
    </xf>
    <xf numFmtId="0" fontId="8" fillId="0" borderId="0" xfId="0" applyFont="1" applyAlignment="1">
      <alignment/>
    </xf>
    <xf numFmtId="0" fontId="9" fillId="0" borderId="0" xfId="0" applyFont="1" applyAlignment="1">
      <alignment/>
    </xf>
    <xf numFmtId="43" fontId="35" fillId="0" borderId="0" xfId="0" applyNumberFormat="1" applyFont="1" applyFill="1" applyAlignment="1">
      <alignment/>
    </xf>
    <xf numFmtId="0" fontId="35" fillId="0" borderId="0" xfId="0" applyFont="1" applyAlignment="1">
      <alignment horizontal="center"/>
    </xf>
    <xf numFmtId="0" fontId="35" fillId="35" borderId="0" xfId="0" applyFont="1" applyFill="1" applyAlignment="1">
      <alignment horizontal="right"/>
    </xf>
    <xf numFmtId="39" fontId="35" fillId="35" borderId="0" xfId="0" applyNumberFormat="1" applyFont="1" applyFill="1" applyAlignment="1">
      <alignment horizontal="right"/>
    </xf>
    <xf numFmtId="0" fontId="34" fillId="0" borderId="0" xfId="0" applyFont="1" applyFill="1" applyBorder="1" applyAlignment="1">
      <alignment/>
    </xf>
    <xf numFmtId="0" fontId="7" fillId="0" borderId="0" xfId="0" applyFont="1" applyFill="1" applyBorder="1" applyAlignment="1">
      <alignment/>
    </xf>
    <xf numFmtId="39" fontId="74" fillId="0" borderId="0" xfId="0" applyNumberFormat="1" applyFont="1" applyAlignment="1">
      <alignment/>
    </xf>
    <xf numFmtId="39" fontId="74" fillId="0" borderId="0" xfId="0" applyNumberFormat="1" applyFont="1" applyAlignment="1" quotePrefix="1">
      <alignment/>
    </xf>
    <xf numFmtId="0" fontId="65" fillId="0" borderId="0" xfId="0" applyFont="1" applyAlignment="1">
      <alignment horizontal="center"/>
    </xf>
    <xf numFmtId="39" fontId="34" fillId="0" borderId="0" xfId="0" applyNumberFormat="1" applyFont="1" applyFill="1" applyBorder="1" applyAlignment="1">
      <alignment/>
    </xf>
    <xf numFmtId="37" fontId="34" fillId="0" borderId="0" xfId="0" applyNumberFormat="1" applyFont="1" applyFill="1" applyBorder="1" applyAlignment="1">
      <alignment/>
    </xf>
    <xf numFmtId="0" fontId="34" fillId="0" borderId="0" xfId="0" applyFont="1" applyFill="1" applyAlignment="1">
      <alignment/>
    </xf>
    <xf numFmtId="37" fontId="34" fillId="0" borderId="0" xfId="0" applyNumberFormat="1" applyFont="1" applyFill="1" applyAlignment="1">
      <alignment/>
    </xf>
    <xf numFmtId="39" fontId="34" fillId="0" borderId="0" xfId="0" applyNumberFormat="1" applyFont="1" applyFill="1" applyBorder="1" applyAlignment="1">
      <alignment horizontal="right"/>
    </xf>
    <xf numFmtId="39" fontId="34" fillId="0" borderId="0" xfId="0" applyNumberFormat="1" applyFont="1" applyFill="1" applyAlignment="1">
      <alignment horizontal="right"/>
    </xf>
    <xf numFmtId="39" fontId="0" fillId="0" borderId="0" xfId="0" applyNumberFormat="1" applyFill="1" applyAlignment="1">
      <alignment horizontal="right"/>
    </xf>
    <xf numFmtId="39" fontId="34" fillId="0" borderId="0" xfId="0" applyNumberFormat="1" applyFont="1" applyFill="1" applyAlignment="1">
      <alignment/>
    </xf>
    <xf numFmtId="39" fontId="64" fillId="0" borderId="0" xfId="0" applyNumberFormat="1" applyFont="1" applyFill="1" applyAlignment="1">
      <alignment/>
    </xf>
    <xf numFmtId="39" fontId="65" fillId="0" borderId="0" xfId="0" applyNumberFormat="1" applyFont="1" applyAlignment="1">
      <alignment/>
    </xf>
    <xf numFmtId="39" fontId="7" fillId="0" borderId="0" xfId="0" applyNumberFormat="1" applyFont="1" applyFill="1" applyBorder="1" applyAlignment="1">
      <alignment horizontal="right"/>
    </xf>
    <xf numFmtId="39" fontId="66" fillId="0" borderId="0" xfId="0" applyNumberFormat="1" applyFont="1" applyFill="1" applyAlignment="1">
      <alignment horizontal="right"/>
    </xf>
    <xf numFmtId="39" fontId="7" fillId="0" borderId="0" xfId="0" applyNumberFormat="1" applyFont="1" applyFill="1" applyBorder="1" applyAlignment="1">
      <alignment/>
    </xf>
    <xf numFmtId="0" fontId="7" fillId="0" borderId="0" xfId="0" applyFont="1" applyFill="1" applyBorder="1" applyAlignment="1">
      <alignment horizontal="center"/>
    </xf>
    <xf numFmtId="0" fontId="7" fillId="0" borderId="0" xfId="0" applyFont="1" applyFill="1" applyAlignment="1">
      <alignment/>
    </xf>
    <xf numFmtId="39" fontId="7" fillId="0" borderId="0" xfId="0" applyNumberFormat="1" applyFont="1" applyFill="1" applyAlignment="1">
      <alignment/>
    </xf>
    <xf numFmtId="39" fontId="66" fillId="0" borderId="0" xfId="0" applyNumberFormat="1" applyFont="1" applyFill="1" applyAlignment="1">
      <alignment/>
    </xf>
    <xf numFmtId="0" fontId="6" fillId="0" borderId="0" xfId="0" applyFont="1" applyFill="1" applyBorder="1" applyAlignment="1">
      <alignment horizontal="center"/>
    </xf>
    <xf numFmtId="39" fontId="6" fillId="0" borderId="0" xfId="0" applyNumberFormat="1" applyFont="1" applyFill="1" applyAlignment="1">
      <alignment/>
    </xf>
    <xf numFmtId="39" fontId="6" fillId="0" borderId="0" xfId="0" applyNumberFormat="1" applyFont="1" applyFill="1" applyBorder="1" applyAlignment="1">
      <alignment horizontal="right"/>
    </xf>
    <xf numFmtId="39" fontId="6" fillId="0" borderId="0" xfId="0" applyNumberFormat="1" applyFont="1" applyFill="1" applyBorder="1" applyAlignment="1">
      <alignment/>
    </xf>
    <xf numFmtId="0" fontId="7" fillId="0" borderId="0" xfId="0" applyFont="1" applyBorder="1" applyAlignment="1">
      <alignment horizontal="center"/>
    </xf>
    <xf numFmtId="0" fontId="6" fillId="34" borderId="0" xfId="0" applyFont="1" applyFill="1" applyBorder="1" applyAlignment="1">
      <alignment horizontal="center"/>
    </xf>
    <xf numFmtId="43" fontId="6" fillId="34" borderId="0" xfId="42" applyFont="1" applyFill="1" applyBorder="1" applyAlignment="1">
      <alignment horizontal="right"/>
    </xf>
    <xf numFmtId="39" fontId="6" fillId="34" borderId="0" xfId="0" applyNumberFormat="1" applyFont="1" applyFill="1" applyBorder="1" applyAlignment="1">
      <alignment horizontal="right"/>
    </xf>
    <xf numFmtId="37" fontId="68" fillId="0" borderId="0" xfId="0" applyNumberFormat="1" applyFont="1" applyAlignment="1">
      <alignment/>
    </xf>
    <xf numFmtId="43" fontId="66" fillId="0" borderId="0" xfId="0" applyNumberFormat="1" applyFont="1" applyAlignment="1">
      <alignment/>
    </xf>
    <xf numFmtId="39" fontId="68" fillId="0" borderId="19" xfId="0" applyNumberFormat="1" applyFont="1" applyBorder="1" applyAlignment="1">
      <alignment/>
    </xf>
    <xf numFmtId="39" fontId="68" fillId="0" borderId="0" xfId="0" applyNumberFormat="1" applyFont="1" applyBorder="1" applyAlignment="1">
      <alignment/>
    </xf>
    <xf numFmtId="37" fontId="66" fillId="0" borderId="0" xfId="0" applyNumberFormat="1" applyFont="1" applyAlignment="1">
      <alignment/>
    </xf>
    <xf numFmtId="37" fontId="65" fillId="35" borderId="0" xfId="0" applyNumberFormat="1" applyFont="1" applyFill="1" applyAlignment="1">
      <alignment/>
    </xf>
    <xf numFmtId="39" fontId="65" fillId="35" borderId="0" xfId="0" applyNumberFormat="1" applyFont="1" applyFill="1" applyAlignment="1">
      <alignment/>
    </xf>
    <xf numFmtId="39" fontId="66" fillId="35" borderId="0" xfId="0" applyNumberFormat="1" applyFont="1" applyFill="1" applyAlignment="1">
      <alignment/>
    </xf>
    <xf numFmtId="0" fontId="10" fillId="34" borderId="0" xfId="0" applyFont="1" applyFill="1" applyBorder="1" applyAlignment="1">
      <alignment/>
    </xf>
    <xf numFmtId="39" fontId="6" fillId="0" borderId="0" xfId="0" applyNumberFormat="1" applyFont="1" applyFill="1" applyBorder="1" applyAlignment="1">
      <alignment horizontal="center"/>
    </xf>
    <xf numFmtId="0" fontId="7" fillId="0" borderId="0" xfId="0" applyFont="1" applyFill="1" applyBorder="1" applyAlignment="1">
      <alignment horizontal="right"/>
    </xf>
    <xf numFmtId="0" fontId="66" fillId="0" borderId="0" xfId="0" applyFont="1" applyFill="1" applyAlignment="1">
      <alignment horizontal="right"/>
    </xf>
    <xf numFmtId="0" fontId="10" fillId="0"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Border="1" applyAlignment="1">
      <alignment/>
    </xf>
    <xf numFmtId="0" fontId="6" fillId="34" borderId="0" xfId="0" applyFont="1" applyFill="1" applyBorder="1" applyAlignment="1">
      <alignment horizontal="left"/>
    </xf>
    <xf numFmtId="0" fontId="62" fillId="0" borderId="0" xfId="0" applyFont="1" applyFill="1" applyAlignment="1">
      <alignment/>
    </xf>
    <xf numFmtId="43" fontId="65" fillId="0" borderId="0" xfId="0" applyNumberFormat="1" applyFont="1" applyAlignment="1">
      <alignment/>
    </xf>
    <xf numFmtId="43" fontId="65" fillId="0" borderId="0" xfId="42" applyFont="1" applyAlignment="1">
      <alignment/>
    </xf>
    <xf numFmtId="39" fontId="73" fillId="0" borderId="0" xfId="0" applyNumberFormat="1" applyFont="1" applyAlignment="1">
      <alignment/>
    </xf>
    <xf numFmtId="39" fontId="75" fillId="35" borderId="0" xfId="0" applyNumberFormat="1" applyFont="1" applyFill="1" applyAlignment="1">
      <alignment/>
    </xf>
    <xf numFmtId="0" fontId="70" fillId="37" borderId="0" xfId="0" applyFont="1" applyFill="1" applyAlignment="1">
      <alignment/>
    </xf>
    <xf numFmtId="39" fontId="64" fillId="37" borderId="0" xfId="0" applyNumberFormat="1" applyFont="1" applyFill="1" applyAlignment="1">
      <alignment/>
    </xf>
    <xf numFmtId="0" fontId="8" fillId="0" borderId="0" xfId="0" applyFont="1" applyAlignment="1">
      <alignment horizontal="center"/>
    </xf>
    <xf numFmtId="39" fontId="9" fillId="0" borderId="0" xfId="0" applyNumberFormat="1" applyFont="1" applyAlignment="1">
      <alignment/>
    </xf>
    <xf numFmtId="10" fontId="34" fillId="0" borderId="0" xfId="0" applyNumberFormat="1" applyFont="1" applyAlignment="1">
      <alignment/>
    </xf>
    <xf numFmtId="39" fontId="9" fillId="0" borderId="10" xfId="0" applyNumberFormat="1" applyFont="1" applyBorder="1" applyAlignment="1">
      <alignment/>
    </xf>
    <xf numFmtId="39" fontId="34" fillId="0" borderId="10" xfId="0" applyNumberFormat="1" applyFont="1" applyBorder="1" applyAlignment="1">
      <alignment/>
    </xf>
    <xf numFmtId="39" fontId="8" fillId="0" borderId="0" xfId="0" applyNumberFormat="1" applyFont="1" applyAlignment="1">
      <alignment/>
    </xf>
    <xf numFmtId="10" fontId="35" fillId="0" borderId="0" xfId="0" applyNumberFormat="1" applyFont="1" applyAlignment="1">
      <alignment/>
    </xf>
    <xf numFmtId="0" fontId="8" fillId="0" borderId="16" xfId="0" applyFont="1" applyBorder="1" applyAlignment="1">
      <alignment/>
    </xf>
    <xf numFmtId="39" fontId="8" fillId="0" borderId="16" xfId="0" applyNumberFormat="1" applyFont="1" applyBorder="1" applyAlignment="1">
      <alignment/>
    </xf>
    <xf numFmtId="0" fontId="7" fillId="0" borderId="0" xfId="0" applyFont="1" applyAlignment="1">
      <alignment/>
    </xf>
    <xf numFmtId="39" fontId="9" fillId="0" borderId="0" xfId="0" applyNumberFormat="1" applyFont="1" applyBorder="1" applyAlignment="1">
      <alignment/>
    </xf>
    <xf numFmtId="170" fontId="34" fillId="0" borderId="0" xfId="0" applyNumberFormat="1" applyFont="1" applyAlignment="1">
      <alignment/>
    </xf>
    <xf numFmtId="39" fontId="6" fillId="0" borderId="11" xfId="0" applyNumberFormat="1" applyFont="1" applyBorder="1" applyAlignment="1">
      <alignment/>
    </xf>
    <xf numFmtId="10" fontId="0" fillId="0" borderId="0" xfId="0" applyNumberFormat="1" applyAlignment="1">
      <alignment/>
    </xf>
    <xf numFmtId="0" fontId="9" fillId="35" borderId="0" xfId="0" applyFont="1" applyFill="1" applyAlignment="1">
      <alignment/>
    </xf>
    <xf numFmtId="0" fontId="9" fillId="37" borderId="0" xfId="0" applyFont="1" applyFill="1" applyAlignment="1">
      <alignment/>
    </xf>
    <xf numFmtId="0" fontId="0" fillId="36" borderId="0" xfId="0" applyFill="1" applyAlignment="1">
      <alignment/>
    </xf>
    <xf numFmtId="39" fontId="0" fillId="36" borderId="0" xfId="0" applyNumberFormat="1" applyFill="1" applyAlignment="1">
      <alignment/>
    </xf>
    <xf numFmtId="0" fontId="60" fillId="36" borderId="0" xfId="0" applyFont="1" applyFill="1" applyAlignment="1">
      <alignment horizontal="center"/>
    </xf>
    <xf numFmtId="0" fontId="60" fillId="36" borderId="0" xfId="0" applyFont="1" applyFill="1" applyAlignment="1">
      <alignment horizontal="right"/>
    </xf>
    <xf numFmtId="43" fontId="64" fillId="0" borderId="0" xfId="42" applyFont="1" applyAlignment="1">
      <alignment horizontal="center"/>
    </xf>
    <xf numFmtId="0" fontId="63" fillId="35" borderId="0" xfId="0" applyFont="1" applyFill="1" applyAlignment="1">
      <alignment/>
    </xf>
    <xf numFmtId="43" fontId="63" fillId="35" borderId="0" xfId="42" applyFont="1" applyFill="1" applyAlignment="1">
      <alignment horizontal="center"/>
    </xf>
    <xf numFmtId="43" fontId="64" fillId="0" borderId="10" xfId="42" applyFont="1" applyBorder="1" applyAlignment="1">
      <alignment horizontal="center"/>
    </xf>
    <xf numFmtId="43" fontId="0" fillId="0" borderId="0" xfId="42" applyFont="1" applyAlignment="1">
      <alignment/>
    </xf>
    <xf numFmtId="43" fontId="63" fillId="0" borderId="16" xfId="42" applyFont="1" applyBorder="1" applyAlignment="1">
      <alignment horizontal="center"/>
    </xf>
    <xf numFmtId="43" fontId="63" fillId="0" borderId="19" xfId="42" applyFont="1" applyBorder="1" applyAlignment="1">
      <alignment horizontal="center"/>
    </xf>
    <xf numFmtId="43" fontId="63" fillId="0" borderId="0" xfId="42" applyFont="1" applyAlignment="1">
      <alignment/>
    </xf>
    <xf numFmtId="0" fontId="61" fillId="0" borderId="0" xfId="0" applyFont="1" applyFill="1" applyAlignment="1">
      <alignment/>
    </xf>
    <xf numFmtId="0" fontId="63" fillId="37" borderId="0" xfId="0" applyFont="1" applyFill="1" applyAlignment="1">
      <alignment/>
    </xf>
    <xf numFmtId="43" fontId="63" fillId="37" borderId="0" xfId="42" applyFont="1" applyFill="1" applyAlignment="1">
      <alignment horizontal="center"/>
    </xf>
    <xf numFmtId="0" fontId="0" fillId="0" borderId="10" xfId="0" applyBorder="1" applyAlignment="1">
      <alignment/>
    </xf>
    <xf numFmtId="43" fontId="60" fillId="0" borderId="11" xfId="0" applyNumberFormat="1" applyFont="1" applyBorder="1" applyAlignment="1">
      <alignment/>
    </xf>
    <xf numFmtId="39" fontId="60" fillId="0" borderId="11" xfId="0" applyNumberFormat="1" applyFont="1" applyBorder="1" applyAlignment="1">
      <alignment/>
    </xf>
    <xf numFmtId="43" fontId="63" fillId="0" borderId="0" xfId="42" applyFont="1" applyBorder="1" applyAlignment="1">
      <alignment horizontal="center"/>
    </xf>
    <xf numFmtId="0" fontId="66" fillId="36" borderId="0" xfId="0" applyFont="1" applyFill="1" applyAlignment="1">
      <alignment horizontal="right"/>
    </xf>
    <xf numFmtId="10" fontId="60" fillId="0" borderId="0" xfId="0" applyNumberFormat="1" applyFont="1" applyBorder="1" applyAlignment="1">
      <alignment/>
    </xf>
    <xf numFmtId="0" fontId="76" fillId="36" borderId="0" xfId="0" applyFont="1" applyFill="1" applyAlignment="1">
      <alignment horizontal="center"/>
    </xf>
    <xf numFmtId="39" fontId="0" fillId="0" borderId="0" xfId="42" applyNumberFormat="1" applyFont="1" applyAlignment="1">
      <alignment/>
    </xf>
    <xf numFmtId="0" fontId="60" fillId="0" borderId="0" xfId="0" applyFont="1" applyAlignment="1">
      <alignment horizontal="right"/>
    </xf>
    <xf numFmtId="10" fontId="60" fillId="0" borderId="0" xfId="0" applyNumberFormat="1" applyFont="1" applyAlignment="1">
      <alignment/>
    </xf>
    <xf numFmtId="0" fontId="68" fillId="35" borderId="0" xfId="0" applyFont="1" applyFill="1" applyAlignment="1">
      <alignment/>
    </xf>
    <xf numFmtId="37" fontId="68" fillId="0" borderId="0" xfId="0" applyNumberFormat="1" applyFont="1" applyFill="1" applyAlignment="1">
      <alignment/>
    </xf>
    <xf numFmtId="37" fontId="68" fillId="35" borderId="0" xfId="0" applyNumberFormat="1" applyFont="1" applyFill="1" applyBorder="1" applyAlignment="1">
      <alignment/>
    </xf>
    <xf numFmtId="39" fontId="66" fillId="0" borderId="10" xfId="0" applyNumberFormat="1" applyFont="1" applyBorder="1" applyAlignment="1">
      <alignment/>
    </xf>
    <xf numFmtId="39" fontId="65" fillId="0" borderId="19" xfId="0" applyNumberFormat="1" applyFont="1" applyBorder="1" applyAlignment="1">
      <alignment/>
    </xf>
    <xf numFmtId="0" fontId="67" fillId="0" borderId="0" xfId="0" applyFont="1" applyAlignment="1">
      <alignment horizontal="center"/>
    </xf>
    <xf numFmtId="4" fontId="66" fillId="0" borderId="0" xfId="0" applyNumberFormat="1" applyFont="1" applyAlignment="1">
      <alignment/>
    </xf>
    <xf numFmtId="0" fontId="66" fillId="0" borderId="0" xfId="0" applyFont="1" applyAlignment="1">
      <alignment horizontal="center"/>
    </xf>
    <xf numFmtId="39" fontId="77" fillId="0" borderId="0" xfId="0" applyNumberFormat="1" applyFont="1" applyAlignment="1">
      <alignment/>
    </xf>
    <xf numFmtId="0" fontId="78" fillId="0" borderId="0" xfId="0" applyFont="1" applyAlignment="1">
      <alignment/>
    </xf>
    <xf numFmtId="0" fontId="77" fillId="0" borderId="0" xfId="0" applyFont="1" applyAlignment="1">
      <alignment/>
    </xf>
    <xf numFmtId="43" fontId="0" fillId="0" borderId="0" xfId="42" applyFont="1" applyAlignment="1">
      <alignment/>
    </xf>
    <xf numFmtId="0" fontId="77" fillId="0" borderId="0" xfId="0" applyFont="1" applyAlignment="1" quotePrefix="1">
      <alignment/>
    </xf>
    <xf numFmtId="43" fontId="77" fillId="0" borderId="0" xfId="42" applyFont="1" applyAlignment="1">
      <alignment/>
    </xf>
    <xf numFmtId="39" fontId="65" fillId="0" borderId="0" xfId="0" applyNumberFormat="1" applyFont="1" applyBorder="1" applyAlignment="1">
      <alignment/>
    </xf>
    <xf numFmtId="37" fontId="65" fillId="0" borderId="0" xfId="0" applyNumberFormat="1" applyFont="1" applyFill="1" applyAlignment="1">
      <alignment/>
    </xf>
    <xf numFmtId="39" fontId="65" fillId="0" borderId="0" xfId="0" applyNumberFormat="1" applyFont="1" applyFill="1" applyAlignment="1">
      <alignment/>
    </xf>
    <xf numFmtId="37" fontId="63" fillId="0" borderId="0" xfId="0" applyNumberFormat="1" applyFont="1" applyFill="1" applyAlignment="1">
      <alignment/>
    </xf>
    <xf numFmtId="39" fontId="63" fillId="0" borderId="0" xfId="0" applyNumberFormat="1" applyFont="1" applyFill="1" applyAlignment="1">
      <alignment/>
    </xf>
    <xf numFmtId="0" fontId="65" fillId="37" borderId="0" xfId="0" applyFont="1" applyFill="1" applyAlignment="1">
      <alignment/>
    </xf>
    <xf numFmtId="39" fontId="65" fillId="37" borderId="0" xfId="0" applyNumberFormat="1" applyFont="1" applyFill="1" applyAlignment="1">
      <alignment/>
    </xf>
    <xf numFmtId="3" fontId="66" fillId="0" borderId="0" xfId="0" applyNumberFormat="1" applyFont="1" applyAlignment="1">
      <alignment/>
    </xf>
    <xf numFmtId="3" fontId="65" fillId="35" borderId="0" xfId="0" applyNumberFormat="1" applyFont="1" applyFill="1" applyAlignment="1">
      <alignment/>
    </xf>
    <xf numFmtId="0" fontId="66" fillId="35" borderId="0" xfId="0" applyFont="1" applyFill="1" applyAlignment="1">
      <alignment/>
    </xf>
    <xf numFmtId="39" fontId="60" fillId="0" borderId="10" xfId="0" applyNumberFormat="1" applyFont="1" applyFill="1" applyBorder="1" applyAlignment="1">
      <alignment horizontal="center"/>
    </xf>
    <xf numFmtId="39" fontId="35" fillId="34" borderId="0" xfId="42" applyNumberFormat="1" applyFont="1" applyFill="1" applyBorder="1" applyAlignment="1">
      <alignment horizontal="right"/>
    </xf>
    <xf numFmtId="39" fontId="35" fillId="0" borderId="0" xfId="0" applyNumberFormat="1" applyFont="1" applyFill="1" applyBorder="1" applyAlignment="1">
      <alignment horizontal="right"/>
    </xf>
    <xf numFmtId="39" fontId="35" fillId="0" borderId="0" xfId="0" applyNumberFormat="1" applyFont="1" applyFill="1" applyBorder="1" applyAlignment="1">
      <alignment/>
    </xf>
    <xf numFmtId="39" fontId="35" fillId="0" borderId="0" xfId="0" applyNumberFormat="1" applyFont="1" applyFill="1" applyAlignment="1">
      <alignment/>
    </xf>
    <xf numFmtId="39" fontId="68" fillId="0" borderId="0" xfId="0" applyNumberFormat="1" applyFont="1" applyFill="1" applyBorder="1" applyAlignment="1">
      <alignment/>
    </xf>
    <xf numFmtId="43" fontId="66" fillId="0" borderId="0" xfId="0" applyNumberFormat="1" applyFont="1" applyFill="1" applyAlignment="1">
      <alignment/>
    </xf>
    <xf numFmtId="0" fontId="11" fillId="0" borderId="0" xfId="0" applyFont="1" applyFill="1" applyAlignment="1">
      <alignment/>
    </xf>
    <xf numFmtId="0" fontId="11" fillId="0" borderId="0" xfId="0" applyFont="1" applyAlignment="1">
      <alignment/>
    </xf>
    <xf numFmtId="0" fontId="79"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oshibalaptop1\h\helping%20haiti\Helping%20Haiti%20Canaan%20II\Revised%20Program%20Documents\Revised%20budget%20for%20multifamily%20housing127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uses and Facilities"/>
      <sheetName val="Original Budget for Homes"/>
      <sheetName val="Updated Allocation-Budget Homes"/>
      <sheetName val="Panel Notes"/>
      <sheetName val="% project allocation"/>
      <sheetName val="Proposed Production Schedule"/>
      <sheetName val="Primary Pillars"/>
      <sheetName val="multifamily unit calculations"/>
      <sheetName val="revised"/>
      <sheetName val="Christine"/>
      <sheetName val="IBO"/>
      <sheetName val="electrical.plumbing"/>
      <sheetName val="home depot pricing"/>
      <sheetName val="ibo prices"/>
      <sheetName val="Notes"/>
      <sheetName val="solar"/>
    </sheetNames>
    <sheetDataSet>
      <sheetData sheetId="11">
        <row r="4">
          <cell r="G4">
            <v>350</v>
          </cell>
        </row>
        <row r="6">
          <cell r="G6">
            <v>275</v>
          </cell>
        </row>
        <row r="7">
          <cell r="G7">
            <v>400</v>
          </cell>
        </row>
        <row r="9">
          <cell r="G9">
            <v>350</v>
          </cell>
        </row>
        <row r="10">
          <cell r="G10">
            <v>400</v>
          </cell>
        </row>
        <row r="12">
          <cell r="G12">
            <v>400</v>
          </cell>
        </row>
        <row r="14">
          <cell r="F14">
            <v>750</v>
          </cell>
        </row>
        <row r="15">
          <cell r="F15">
            <v>750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55"/>
  <sheetViews>
    <sheetView view="pageBreakPreview" zoomScale="60" zoomScalePageLayoutView="0" workbookViewId="0" topLeftCell="C89">
      <selection activeCell="J91" sqref="J91"/>
    </sheetView>
  </sheetViews>
  <sheetFormatPr defaultColWidth="9.140625" defaultRowHeight="15"/>
  <cols>
    <col min="1" max="1" width="20.7109375" style="0" customWidth="1"/>
    <col min="2" max="2" width="102.421875" style="0" customWidth="1"/>
    <col min="3" max="3" width="37.00390625" style="0" customWidth="1"/>
    <col min="4" max="4" width="17.7109375" style="0" customWidth="1"/>
    <col min="5" max="5" width="17.28125" style="0" customWidth="1"/>
    <col min="6" max="6" width="17.8515625" style="0" customWidth="1"/>
    <col min="7" max="7" width="19.140625" style="0" customWidth="1"/>
    <col min="8" max="8" width="17.140625" style="0" customWidth="1"/>
    <col min="9" max="9" width="20.421875" style="0" customWidth="1"/>
    <col min="10" max="10" width="15.7109375" style="0" bestFit="1" customWidth="1"/>
    <col min="11" max="11" width="11.8515625" style="0" customWidth="1"/>
    <col min="12" max="12" width="19.28125" style="0" customWidth="1"/>
    <col min="13" max="13" width="14.57421875" style="0" customWidth="1"/>
    <col min="14" max="14" width="12.421875" style="0" bestFit="1" customWidth="1"/>
  </cols>
  <sheetData>
    <row r="1" ht="20.25">
      <c r="A1" s="1" t="s">
        <v>0</v>
      </c>
    </row>
    <row r="2" ht="20.25">
      <c r="A2" s="1" t="s">
        <v>3</v>
      </c>
    </row>
    <row r="3" ht="20.25">
      <c r="A3" s="1" t="s">
        <v>1</v>
      </c>
    </row>
    <row r="4" ht="20.25">
      <c r="A4" s="1" t="s">
        <v>565</v>
      </c>
    </row>
    <row r="5" ht="20.25">
      <c r="A5" s="1" t="s">
        <v>566</v>
      </c>
    </row>
    <row r="8" ht="20.25">
      <c r="A8" s="170" t="s">
        <v>2</v>
      </c>
    </row>
    <row r="9" spans="4:8" ht="15">
      <c r="D9" s="50" t="s">
        <v>201</v>
      </c>
      <c r="E9" s="50" t="s">
        <v>202</v>
      </c>
      <c r="F9" s="50" t="s">
        <v>203</v>
      </c>
      <c r="G9" s="50" t="s">
        <v>204</v>
      </c>
      <c r="H9" s="50" t="s">
        <v>205</v>
      </c>
    </row>
    <row r="10" spans="1:9" ht="15.75">
      <c r="A10" s="29" t="s">
        <v>109</v>
      </c>
      <c r="B10" s="7" t="s">
        <v>4</v>
      </c>
      <c r="C10" s="5"/>
      <c r="D10" s="50" t="s">
        <v>207</v>
      </c>
      <c r="E10" s="50" t="s">
        <v>208</v>
      </c>
      <c r="F10" s="50" t="s">
        <v>209</v>
      </c>
      <c r="G10" s="50" t="s">
        <v>210</v>
      </c>
      <c r="H10" s="50" t="s">
        <v>211</v>
      </c>
      <c r="I10" s="50" t="s">
        <v>212</v>
      </c>
    </row>
    <row r="11" spans="2:7" ht="15.75">
      <c r="B11" s="204" t="s">
        <v>510</v>
      </c>
      <c r="C11" s="235"/>
      <c r="D11" s="6"/>
      <c r="E11" s="6"/>
      <c r="F11" s="6"/>
      <c r="G11" s="6"/>
    </row>
    <row r="12" spans="1:9" ht="15.75">
      <c r="A12">
        <v>1</v>
      </c>
      <c r="B12" s="5" t="s">
        <v>5</v>
      </c>
      <c r="C12" s="6" t="s">
        <v>6</v>
      </c>
      <c r="D12" s="31">
        <f>6730.77*26-0.02</f>
        <v>175000.00000000003</v>
      </c>
      <c r="E12" s="31">
        <f aca="true" t="shared" si="0" ref="E12:H31">+D12*1.05</f>
        <v>183750.00000000003</v>
      </c>
      <c r="F12" s="31">
        <f t="shared" si="0"/>
        <v>192937.50000000003</v>
      </c>
      <c r="G12" s="31">
        <f t="shared" si="0"/>
        <v>202584.37500000003</v>
      </c>
      <c r="H12" s="31">
        <f t="shared" si="0"/>
        <v>212713.59375000003</v>
      </c>
      <c r="I12" s="31">
        <f>SUM(D12:H12)</f>
        <v>966985.4687500001</v>
      </c>
    </row>
    <row r="13" spans="1:9" ht="15.75">
      <c r="A13">
        <v>1</v>
      </c>
      <c r="B13" s="6" t="s">
        <v>29</v>
      </c>
      <c r="C13" s="6" t="s">
        <v>30</v>
      </c>
      <c r="D13" s="233">
        <f>500*12</f>
        <v>6000</v>
      </c>
      <c r="E13" s="31">
        <f t="shared" si="0"/>
        <v>6300</v>
      </c>
      <c r="F13" s="31">
        <f t="shared" si="0"/>
        <v>6615</v>
      </c>
      <c r="G13" s="31">
        <f t="shared" si="0"/>
        <v>6945.75</v>
      </c>
      <c r="H13" s="31">
        <f t="shared" si="0"/>
        <v>7293.0375</v>
      </c>
      <c r="I13" s="31">
        <f aca="true" t="shared" si="1" ref="I13:I50">SUM(D13:H13)</f>
        <v>33153.7875</v>
      </c>
    </row>
    <row r="14" spans="1:9" ht="15.75">
      <c r="A14">
        <v>1</v>
      </c>
      <c r="B14" s="6" t="s">
        <v>7</v>
      </c>
      <c r="C14" s="8" t="s">
        <v>8</v>
      </c>
      <c r="D14" s="233">
        <f>2500*12</f>
        <v>30000</v>
      </c>
      <c r="E14" s="31">
        <f t="shared" si="0"/>
        <v>31500</v>
      </c>
      <c r="F14" s="31">
        <f t="shared" si="0"/>
        <v>33075</v>
      </c>
      <c r="G14" s="31">
        <f t="shared" si="0"/>
        <v>34728.75</v>
      </c>
      <c r="H14" s="31">
        <f t="shared" si="0"/>
        <v>36465.1875</v>
      </c>
      <c r="I14" s="31">
        <f t="shared" si="1"/>
        <v>165768.9375</v>
      </c>
    </row>
    <row r="15" spans="1:9" ht="15.75">
      <c r="A15">
        <v>1</v>
      </c>
      <c r="B15" s="5" t="s">
        <v>9</v>
      </c>
      <c r="C15" s="6" t="s">
        <v>75</v>
      </c>
      <c r="D15" s="31">
        <f>1000*12</f>
        <v>12000</v>
      </c>
      <c r="E15" s="31">
        <f t="shared" si="0"/>
        <v>12600</v>
      </c>
      <c r="F15" s="31">
        <f t="shared" si="0"/>
        <v>13230</v>
      </c>
      <c r="G15" s="31">
        <f t="shared" si="0"/>
        <v>13891.5</v>
      </c>
      <c r="H15" s="31">
        <f t="shared" si="0"/>
        <v>14586.075</v>
      </c>
      <c r="I15" s="31">
        <f t="shared" si="1"/>
        <v>66307.575</v>
      </c>
    </row>
    <row r="16" spans="1:9" ht="15.75">
      <c r="A16">
        <v>1</v>
      </c>
      <c r="B16" s="6" t="s">
        <v>10</v>
      </c>
      <c r="C16" s="8" t="s">
        <v>11</v>
      </c>
      <c r="D16" s="234">
        <f>400*12</f>
        <v>4800</v>
      </c>
      <c r="E16" s="31">
        <f t="shared" si="0"/>
        <v>5040</v>
      </c>
      <c r="F16" s="31">
        <f t="shared" si="0"/>
        <v>5292</v>
      </c>
      <c r="G16" s="31">
        <f t="shared" si="0"/>
        <v>5556.6</v>
      </c>
      <c r="H16" s="31">
        <f t="shared" si="0"/>
        <v>5834.43</v>
      </c>
      <c r="I16" s="31">
        <f t="shared" si="1"/>
        <v>26523.03</v>
      </c>
    </row>
    <row r="17" spans="1:9" ht="15.75">
      <c r="A17">
        <v>1</v>
      </c>
      <c r="B17" s="6" t="s">
        <v>12</v>
      </c>
      <c r="C17" s="8" t="s">
        <v>11</v>
      </c>
      <c r="D17" s="234">
        <f>400*12</f>
        <v>4800</v>
      </c>
      <c r="E17" s="31">
        <f t="shared" si="0"/>
        <v>5040</v>
      </c>
      <c r="F17" s="31">
        <f t="shared" si="0"/>
        <v>5292</v>
      </c>
      <c r="G17" s="31">
        <f t="shared" si="0"/>
        <v>5556.6</v>
      </c>
      <c r="H17" s="31">
        <f t="shared" si="0"/>
        <v>5834.43</v>
      </c>
      <c r="I17" s="31">
        <f t="shared" si="1"/>
        <v>26523.03</v>
      </c>
    </row>
    <row r="18" spans="1:9" ht="15.75">
      <c r="A18">
        <v>1</v>
      </c>
      <c r="B18" s="6" t="s">
        <v>13</v>
      </c>
      <c r="C18" s="8" t="s">
        <v>11</v>
      </c>
      <c r="D18" s="234">
        <f>400*12</f>
        <v>4800</v>
      </c>
      <c r="E18" s="31">
        <f t="shared" si="0"/>
        <v>5040</v>
      </c>
      <c r="F18" s="31">
        <f t="shared" si="0"/>
        <v>5292</v>
      </c>
      <c r="G18" s="31">
        <f t="shared" si="0"/>
        <v>5556.6</v>
      </c>
      <c r="H18" s="31">
        <f t="shared" si="0"/>
        <v>5834.43</v>
      </c>
      <c r="I18" s="31">
        <f t="shared" si="1"/>
        <v>26523.03</v>
      </c>
    </row>
    <row r="19" spans="1:9" ht="15.75">
      <c r="A19">
        <v>1</v>
      </c>
      <c r="B19" s="6" t="s">
        <v>14</v>
      </c>
      <c r="C19" s="8" t="s">
        <v>11</v>
      </c>
      <c r="D19" s="234">
        <f>400*12</f>
        <v>4800</v>
      </c>
      <c r="E19" s="31">
        <f t="shared" si="0"/>
        <v>5040</v>
      </c>
      <c r="F19" s="31">
        <f t="shared" si="0"/>
        <v>5292</v>
      </c>
      <c r="G19" s="31">
        <f t="shared" si="0"/>
        <v>5556.6</v>
      </c>
      <c r="H19" s="31">
        <f t="shared" si="0"/>
        <v>5834.43</v>
      </c>
      <c r="I19" s="31">
        <f t="shared" si="1"/>
        <v>26523.03</v>
      </c>
    </row>
    <row r="20" spans="1:9" ht="15.75">
      <c r="A20">
        <v>1</v>
      </c>
      <c r="B20" s="6" t="s">
        <v>15</v>
      </c>
      <c r="C20" s="6" t="s">
        <v>39</v>
      </c>
      <c r="D20" s="233">
        <f>350*12</f>
        <v>4200</v>
      </c>
      <c r="E20" s="31">
        <f t="shared" si="0"/>
        <v>4410</v>
      </c>
      <c r="F20" s="31">
        <f t="shared" si="0"/>
        <v>4630.5</v>
      </c>
      <c r="G20" s="31">
        <f t="shared" si="0"/>
        <v>4862.025000000001</v>
      </c>
      <c r="H20" s="31">
        <f t="shared" si="0"/>
        <v>5105.126250000001</v>
      </c>
      <c r="I20" s="31">
        <f t="shared" si="1"/>
        <v>23207.651250000003</v>
      </c>
    </row>
    <row r="21" spans="1:9" ht="15.75">
      <c r="A21">
        <v>1</v>
      </c>
      <c r="B21" s="6" t="s">
        <v>16</v>
      </c>
      <c r="C21" s="6" t="s">
        <v>73</v>
      </c>
      <c r="D21" s="233">
        <f>300*12</f>
        <v>3600</v>
      </c>
      <c r="E21" s="31">
        <f t="shared" si="0"/>
        <v>3780</v>
      </c>
      <c r="F21" s="31">
        <f t="shared" si="0"/>
        <v>3969</v>
      </c>
      <c r="G21" s="31">
        <f t="shared" si="0"/>
        <v>4167.45</v>
      </c>
      <c r="H21" s="31">
        <f t="shared" si="0"/>
        <v>4375.8225</v>
      </c>
      <c r="I21" s="31">
        <f t="shared" si="1"/>
        <v>19892.2725</v>
      </c>
    </row>
    <row r="22" spans="1:9" ht="15.75">
      <c r="A22">
        <v>1</v>
      </c>
      <c r="B22" s="6" t="s">
        <v>17</v>
      </c>
      <c r="C22" s="6" t="s">
        <v>73</v>
      </c>
      <c r="D22" s="233">
        <f>300*12</f>
        <v>3600</v>
      </c>
      <c r="E22" s="31">
        <f t="shared" si="0"/>
        <v>3780</v>
      </c>
      <c r="F22" s="31">
        <f t="shared" si="0"/>
        <v>3969</v>
      </c>
      <c r="G22" s="31">
        <f t="shared" si="0"/>
        <v>4167.45</v>
      </c>
      <c r="H22" s="31">
        <f t="shared" si="0"/>
        <v>4375.8225</v>
      </c>
      <c r="I22" s="31">
        <f t="shared" si="1"/>
        <v>19892.2725</v>
      </c>
    </row>
    <row r="23" spans="1:9" ht="15.75">
      <c r="A23">
        <v>1</v>
      </c>
      <c r="B23" s="6" t="s">
        <v>18</v>
      </c>
      <c r="C23" s="6" t="s">
        <v>73</v>
      </c>
      <c r="D23" s="233">
        <f>300*12</f>
        <v>3600</v>
      </c>
      <c r="E23" s="31">
        <f t="shared" si="0"/>
        <v>3780</v>
      </c>
      <c r="F23" s="31">
        <f t="shared" si="0"/>
        <v>3969</v>
      </c>
      <c r="G23" s="31">
        <f t="shared" si="0"/>
        <v>4167.45</v>
      </c>
      <c r="H23" s="31">
        <f t="shared" si="0"/>
        <v>4375.8225</v>
      </c>
      <c r="I23" s="31">
        <f t="shared" si="1"/>
        <v>19892.2725</v>
      </c>
    </row>
    <row r="24" spans="1:9" ht="15.75">
      <c r="A24">
        <v>1</v>
      </c>
      <c r="B24" s="5" t="s">
        <v>19</v>
      </c>
      <c r="C24" s="8" t="s">
        <v>20</v>
      </c>
      <c r="D24" s="233">
        <f>1500*12</f>
        <v>18000</v>
      </c>
      <c r="E24" s="31">
        <f t="shared" si="0"/>
        <v>18900</v>
      </c>
      <c r="F24" s="31">
        <f t="shared" si="0"/>
        <v>19845</v>
      </c>
      <c r="G24" s="31">
        <f t="shared" si="0"/>
        <v>20837.25</v>
      </c>
      <c r="H24" s="31">
        <f t="shared" si="0"/>
        <v>21879.1125</v>
      </c>
      <c r="I24" s="31">
        <f t="shared" si="1"/>
        <v>99461.3625</v>
      </c>
    </row>
    <row r="25" spans="1:9" ht="15.75">
      <c r="A25">
        <v>1</v>
      </c>
      <c r="B25" s="6" t="s">
        <v>21</v>
      </c>
      <c r="C25" s="8" t="s">
        <v>22</v>
      </c>
      <c r="D25" s="233">
        <f>750*12</f>
        <v>9000</v>
      </c>
      <c r="E25" s="31">
        <f t="shared" si="0"/>
        <v>9450</v>
      </c>
      <c r="F25" s="31">
        <f t="shared" si="0"/>
        <v>9922.5</v>
      </c>
      <c r="G25" s="31">
        <f t="shared" si="0"/>
        <v>10418.625</v>
      </c>
      <c r="H25" s="31">
        <f t="shared" si="0"/>
        <v>10939.55625</v>
      </c>
      <c r="I25" s="31">
        <f t="shared" si="1"/>
        <v>49730.68125</v>
      </c>
    </row>
    <row r="26" spans="1:9" ht="15.75">
      <c r="A26">
        <v>1</v>
      </c>
      <c r="B26" s="6" t="s">
        <v>23</v>
      </c>
      <c r="C26" s="6" t="s">
        <v>30</v>
      </c>
      <c r="D26" s="233">
        <f>500*12</f>
        <v>6000</v>
      </c>
      <c r="E26" s="31">
        <f t="shared" si="0"/>
        <v>6300</v>
      </c>
      <c r="F26" s="31">
        <f t="shared" si="0"/>
        <v>6615</v>
      </c>
      <c r="G26" s="31">
        <f t="shared" si="0"/>
        <v>6945.75</v>
      </c>
      <c r="H26" s="31">
        <f t="shared" si="0"/>
        <v>7293.0375</v>
      </c>
      <c r="I26" s="31">
        <f t="shared" si="1"/>
        <v>33153.7875</v>
      </c>
    </row>
    <row r="27" spans="1:9" ht="15.75">
      <c r="A27">
        <v>1</v>
      </c>
      <c r="B27" s="6" t="s">
        <v>24</v>
      </c>
      <c r="C27" s="6" t="s">
        <v>11</v>
      </c>
      <c r="D27" s="233">
        <f>400*12</f>
        <v>4800</v>
      </c>
      <c r="E27" s="31">
        <f t="shared" si="0"/>
        <v>5040</v>
      </c>
      <c r="F27" s="31">
        <f t="shared" si="0"/>
        <v>5292</v>
      </c>
      <c r="G27" s="31">
        <f t="shared" si="0"/>
        <v>5556.6</v>
      </c>
      <c r="H27" s="31">
        <f t="shared" si="0"/>
        <v>5834.43</v>
      </c>
      <c r="I27" s="31">
        <f t="shared" si="1"/>
        <v>26523.03</v>
      </c>
    </row>
    <row r="28" spans="1:9" ht="15.75">
      <c r="A28">
        <v>1</v>
      </c>
      <c r="B28" s="6" t="s">
        <v>25</v>
      </c>
      <c r="C28" s="6" t="s">
        <v>11</v>
      </c>
      <c r="D28" s="233">
        <f>400*12</f>
        <v>4800</v>
      </c>
      <c r="E28" s="31">
        <f t="shared" si="0"/>
        <v>5040</v>
      </c>
      <c r="F28" s="31">
        <f t="shared" si="0"/>
        <v>5292</v>
      </c>
      <c r="G28" s="31">
        <f t="shared" si="0"/>
        <v>5556.6</v>
      </c>
      <c r="H28" s="31">
        <f t="shared" si="0"/>
        <v>5834.43</v>
      </c>
      <c r="I28" s="31">
        <f t="shared" si="1"/>
        <v>26523.03</v>
      </c>
    </row>
    <row r="29" spans="1:9" ht="15.75">
      <c r="A29">
        <v>1</v>
      </c>
      <c r="B29" s="6" t="s">
        <v>26</v>
      </c>
      <c r="C29" s="6" t="s">
        <v>11</v>
      </c>
      <c r="D29" s="233">
        <f>400*12</f>
        <v>4800</v>
      </c>
      <c r="E29" s="31">
        <f t="shared" si="0"/>
        <v>5040</v>
      </c>
      <c r="F29" s="31">
        <f t="shared" si="0"/>
        <v>5292</v>
      </c>
      <c r="G29" s="31">
        <f t="shared" si="0"/>
        <v>5556.6</v>
      </c>
      <c r="H29" s="31">
        <f t="shared" si="0"/>
        <v>5834.43</v>
      </c>
      <c r="I29" s="31">
        <f t="shared" si="1"/>
        <v>26523.03</v>
      </c>
    </row>
    <row r="30" spans="1:9" ht="15.75">
      <c r="A30">
        <v>1</v>
      </c>
      <c r="B30" s="5" t="s">
        <v>27</v>
      </c>
      <c r="C30" s="6" t="s">
        <v>76</v>
      </c>
      <c r="D30" s="234">
        <f>1200*12</f>
        <v>14400</v>
      </c>
      <c r="E30" s="31">
        <f t="shared" si="0"/>
        <v>15120</v>
      </c>
      <c r="F30" s="31">
        <f t="shared" si="0"/>
        <v>15876</v>
      </c>
      <c r="G30" s="31">
        <f t="shared" si="0"/>
        <v>16669.8</v>
      </c>
      <c r="H30" s="31">
        <f t="shared" si="0"/>
        <v>17503.29</v>
      </c>
      <c r="I30" s="31">
        <f t="shared" si="1"/>
        <v>79569.09</v>
      </c>
    </row>
    <row r="31" spans="1:9" ht="15.75">
      <c r="A31">
        <v>1</v>
      </c>
      <c r="B31" s="6" t="s">
        <v>28</v>
      </c>
      <c r="C31" s="6" t="s">
        <v>30</v>
      </c>
      <c r="D31" s="233">
        <f>500*12</f>
        <v>6000</v>
      </c>
      <c r="E31" s="31">
        <f t="shared" si="0"/>
        <v>6300</v>
      </c>
      <c r="F31" s="31">
        <f t="shared" si="0"/>
        <v>6615</v>
      </c>
      <c r="G31" s="31">
        <f t="shared" si="0"/>
        <v>6945.75</v>
      </c>
      <c r="H31" s="31">
        <f t="shared" si="0"/>
        <v>7293.0375</v>
      </c>
      <c r="I31" s="31">
        <f t="shared" si="1"/>
        <v>33153.7875</v>
      </c>
    </row>
    <row r="32" spans="1:9" ht="15.75">
      <c r="A32">
        <v>1</v>
      </c>
      <c r="B32" s="6" t="s">
        <v>31</v>
      </c>
      <c r="C32" s="6" t="s">
        <v>30</v>
      </c>
      <c r="D32" s="233">
        <f>500*12</f>
        <v>6000</v>
      </c>
      <c r="E32" s="31">
        <f aca="true" t="shared" si="2" ref="E32:H50">+D32*1.05</f>
        <v>6300</v>
      </c>
      <c r="F32" s="31">
        <f t="shared" si="2"/>
        <v>6615</v>
      </c>
      <c r="G32" s="31">
        <f t="shared" si="2"/>
        <v>6945.75</v>
      </c>
      <c r="H32" s="31">
        <f t="shared" si="2"/>
        <v>7293.0375</v>
      </c>
      <c r="I32" s="31">
        <f t="shared" si="1"/>
        <v>33153.7875</v>
      </c>
    </row>
    <row r="33" spans="1:9" ht="15.75">
      <c r="A33">
        <v>1</v>
      </c>
      <c r="B33" s="6" t="s">
        <v>32</v>
      </c>
      <c r="C33" s="6" t="s">
        <v>11</v>
      </c>
      <c r="D33" s="233">
        <f>400*12</f>
        <v>4800</v>
      </c>
      <c r="E33" s="31">
        <f t="shared" si="2"/>
        <v>5040</v>
      </c>
      <c r="F33" s="31">
        <f t="shared" si="2"/>
        <v>5292</v>
      </c>
      <c r="G33" s="31">
        <f t="shared" si="2"/>
        <v>5556.6</v>
      </c>
      <c r="H33" s="31">
        <f t="shared" si="2"/>
        <v>5834.43</v>
      </c>
      <c r="I33" s="31">
        <f t="shared" si="1"/>
        <v>26523.03</v>
      </c>
    </row>
    <row r="34" spans="1:9" ht="15.75">
      <c r="A34">
        <v>1</v>
      </c>
      <c r="B34" s="6" t="s">
        <v>33</v>
      </c>
      <c r="C34" s="6" t="s">
        <v>11</v>
      </c>
      <c r="D34" s="233">
        <f>400*12</f>
        <v>4800</v>
      </c>
      <c r="E34" s="31">
        <f t="shared" si="2"/>
        <v>5040</v>
      </c>
      <c r="F34" s="31">
        <f t="shared" si="2"/>
        <v>5292</v>
      </c>
      <c r="G34" s="31">
        <f t="shared" si="2"/>
        <v>5556.6</v>
      </c>
      <c r="H34" s="31">
        <f t="shared" si="2"/>
        <v>5834.43</v>
      </c>
      <c r="I34" s="31">
        <f t="shared" si="1"/>
        <v>26523.03</v>
      </c>
    </row>
    <row r="35" spans="1:9" ht="15.75">
      <c r="A35">
        <v>1</v>
      </c>
      <c r="B35" s="5" t="s">
        <v>34</v>
      </c>
      <c r="C35" s="6" t="s">
        <v>20</v>
      </c>
      <c r="D35" s="31">
        <f>1500*12</f>
        <v>18000</v>
      </c>
      <c r="E35" s="31">
        <f t="shared" si="2"/>
        <v>18900</v>
      </c>
      <c r="F35" s="31">
        <f t="shared" si="2"/>
        <v>19845</v>
      </c>
      <c r="G35" s="31">
        <f t="shared" si="2"/>
        <v>20837.25</v>
      </c>
      <c r="H35" s="31">
        <f t="shared" si="2"/>
        <v>21879.1125</v>
      </c>
      <c r="I35" s="31">
        <f t="shared" si="1"/>
        <v>99461.3625</v>
      </c>
    </row>
    <row r="36" spans="1:9" ht="15.75">
      <c r="A36">
        <v>1</v>
      </c>
      <c r="B36" s="5" t="s">
        <v>35</v>
      </c>
      <c r="C36" s="6" t="s">
        <v>74</v>
      </c>
      <c r="D36" s="31">
        <f>2500*12</f>
        <v>30000</v>
      </c>
      <c r="E36" s="31">
        <f t="shared" si="2"/>
        <v>31500</v>
      </c>
      <c r="F36" s="31">
        <f t="shared" si="2"/>
        <v>33075</v>
      </c>
      <c r="G36" s="31">
        <f t="shared" si="2"/>
        <v>34728.75</v>
      </c>
      <c r="H36" s="31">
        <f t="shared" si="2"/>
        <v>36465.1875</v>
      </c>
      <c r="I36" s="31">
        <f t="shared" si="1"/>
        <v>165768.9375</v>
      </c>
    </row>
    <row r="37" spans="1:9" ht="15.75">
      <c r="A37">
        <v>1</v>
      </c>
      <c r="B37" s="6" t="s">
        <v>36</v>
      </c>
      <c r="C37" s="6" t="s">
        <v>30</v>
      </c>
      <c r="D37" s="31">
        <f>500*12</f>
        <v>6000</v>
      </c>
      <c r="E37" s="31">
        <f t="shared" si="2"/>
        <v>6300</v>
      </c>
      <c r="F37" s="31">
        <f t="shared" si="2"/>
        <v>6615</v>
      </c>
      <c r="G37" s="31">
        <f t="shared" si="2"/>
        <v>6945.75</v>
      </c>
      <c r="H37" s="31">
        <f t="shared" si="2"/>
        <v>7293.0375</v>
      </c>
      <c r="I37" s="31">
        <f t="shared" si="1"/>
        <v>33153.7875</v>
      </c>
    </row>
    <row r="38" spans="1:9" ht="15.75">
      <c r="A38">
        <v>1</v>
      </c>
      <c r="B38" s="6" t="s">
        <v>37</v>
      </c>
      <c r="C38" s="6" t="s">
        <v>30</v>
      </c>
      <c r="D38" s="31">
        <f>500*12</f>
        <v>6000</v>
      </c>
      <c r="E38" s="31">
        <f t="shared" si="2"/>
        <v>6300</v>
      </c>
      <c r="F38" s="31">
        <f t="shared" si="2"/>
        <v>6615</v>
      </c>
      <c r="G38" s="31">
        <f t="shared" si="2"/>
        <v>6945.75</v>
      </c>
      <c r="H38" s="31">
        <f t="shared" si="2"/>
        <v>7293.0375</v>
      </c>
      <c r="I38" s="31">
        <f t="shared" si="1"/>
        <v>33153.7875</v>
      </c>
    </row>
    <row r="39" spans="1:9" ht="15.75">
      <c r="A39">
        <v>1</v>
      </c>
      <c r="B39" s="6" t="s">
        <v>38</v>
      </c>
      <c r="C39" s="6" t="s">
        <v>39</v>
      </c>
      <c r="D39" s="31">
        <f>350*12</f>
        <v>4200</v>
      </c>
      <c r="E39" s="31">
        <f t="shared" si="2"/>
        <v>4410</v>
      </c>
      <c r="F39" s="31">
        <f t="shared" si="2"/>
        <v>4630.5</v>
      </c>
      <c r="G39" s="31">
        <f t="shared" si="2"/>
        <v>4862.025000000001</v>
      </c>
      <c r="H39" s="31">
        <f t="shared" si="2"/>
        <v>5105.126250000001</v>
      </c>
      <c r="I39" s="31">
        <f t="shared" si="1"/>
        <v>23207.651250000003</v>
      </c>
    </row>
    <row r="40" spans="1:9" ht="15.75">
      <c r="A40">
        <v>1</v>
      </c>
      <c r="B40" s="6" t="s">
        <v>40</v>
      </c>
      <c r="C40" s="6" t="s">
        <v>11</v>
      </c>
      <c r="D40" s="31">
        <f>400*12</f>
        <v>4800</v>
      </c>
      <c r="E40" s="31">
        <f t="shared" si="2"/>
        <v>5040</v>
      </c>
      <c r="F40" s="31">
        <f t="shared" si="2"/>
        <v>5292</v>
      </c>
      <c r="G40" s="31">
        <f t="shared" si="2"/>
        <v>5556.6</v>
      </c>
      <c r="H40" s="31">
        <f t="shared" si="2"/>
        <v>5834.43</v>
      </c>
      <c r="I40" s="31">
        <f t="shared" si="1"/>
        <v>26523.03</v>
      </c>
    </row>
    <row r="41" spans="1:9" ht="15.75">
      <c r="A41">
        <v>1</v>
      </c>
      <c r="B41" s="6" t="s">
        <v>41</v>
      </c>
      <c r="C41" s="6" t="s">
        <v>11</v>
      </c>
      <c r="D41" s="31">
        <f>400*12</f>
        <v>4800</v>
      </c>
      <c r="E41" s="31">
        <f t="shared" si="2"/>
        <v>5040</v>
      </c>
      <c r="F41" s="31">
        <f t="shared" si="2"/>
        <v>5292</v>
      </c>
      <c r="G41" s="31">
        <f t="shared" si="2"/>
        <v>5556.6</v>
      </c>
      <c r="H41" s="31">
        <f t="shared" si="2"/>
        <v>5834.43</v>
      </c>
      <c r="I41" s="31">
        <f t="shared" si="1"/>
        <v>26523.03</v>
      </c>
    </row>
    <row r="42" spans="1:9" ht="15.75">
      <c r="A42">
        <v>1</v>
      </c>
      <c r="B42" s="6" t="s">
        <v>42</v>
      </c>
      <c r="C42" s="6" t="s">
        <v>11</v>
      </c>
      <c r="D42" s="31">
        <f>400*12</f>
        <v>4800</v>
      </c>
      <c r="E42" s="31">
        <f t="shared" si="2"/>
        <v>5040</v>
      </c>
      <c r="F42" s="31">
        <f t="shared" si="2"/>
        <v>5292</v>
      </c>
      <c r="G42" s="31">
        <f t="shared" si="2"/>
        <v>5556.6</v>
      </c>
      <c r="H42" s="31">
        <f t="shared" si="2"/>
        <v>5834.43</v>
      </c>
      <c r="I42" s="31">
        <f t="shared" si="1"/>
        <v>26523.03</v>
      </c>
    </row>
    <row r="43" spans="1:9" ht="15.75">
      <c r="A43">
        <v>1</v>
      </c>
      <c r="B43" s="6" t="s">
        <v>43</v>
      </c>
      <c r="C43" s="6" t="s">
        <v>11</v>
      </c>
      <c r="D43" s="31">
        <f>400*12</f>
        <v>4800</v>
      </c>
      <c r="E43" s="31">
        <f t="shared" si="2"/>
        <v>5040</v>
      </c>
      <c r="F43" s="31">
        <f t="shared" si="2"/>
        <v>5292</v>
      </c>
      <c r="G43" s="31">
        <f t="shared" si="2"/>
        <v>5556.6</v>
      </c>
      <c r="H43" s="31">
        <f t="shared" si="2"/>
        <v>5834.43</v>
      </c>
      <c r="I43" s="31">
        <f t="shared" si="1"/>
        <v>26523.03</v>
      </c>
    </row>
    <row r="44" spans="1:9" ht="15.75">
      <c r="A44">
        <v>1</v>
      </c>
      <c r="B44" s="6" t="s">
        <v>44</v>
      </c>
      <c r="C44" s="6" t="s">
        <v>39</v>
      </c>
      <c r="D44" s="31">
        <f>350*12</f>
        <v>4200</v>
      </c>
      <c r="E44" s="31">
        <f t="shared" si="2"/>
        <v>4410</v>
      </c>
      <c r="F44" s="31">
        <f t="shared" si="2"/>
        <v>4630.5</v>
      </c>
      <c r="G44" s="31">
        <f t="shared" si="2"/>
        <v>4862.025000000001</v>
      </c>
      <c r="H44" s="31">
        <f t="shared" si="2"/>
        <v>5105.126250000001</v>
      </c>
      <c r="I44" s="31">
        <f t="shared" si="1"/>
        <v>23207.651250000003</v>
      </c>
    </row>
    <row r="45" spans="1:9" ht="15.75">
      <c r="A45">
        <v>1</v>
      </c>
      <c r="B45" s="6" t="s">
        <v>45</v>
      </c>
      <c r="C45" s="6" t="s">
        <v>39</v>
      </c>
      <c r="D45" s="31">
        <f>350*12</f>
        <v>4200</v>
      </c>
      <c r="E45" s="31">
        <f t="shared" si="2"/>
        <v>4410</v>
      </c>
      <c r="F45" s="31">
        <f t="shared" si="2"/>
        <v>4630.5</v>
      </c>
      <c r="G45" s="31">
        <f t="shared" si="2"/>
        <v>4862.025000000001</v>
      </c>
      <c r="H45" s="31">
        <f t="shared" si="2"/>
        <v>5105.126250000001</v>
      </c>
      <c r="I45" s="31">
        <f t="shared" si="1"/>
        <v>23207.651250000003</v>
      </c>
    </row>
    <row r="46" spans="1:9" ht="15.75">
      <c r="A46">
        <v>1</v>
      </c>
      <c r="B46" s="6" t="s">
        <v>46</v>
      </c>
      <c r="C46" s="6" t="s">
        <v>30</v>
      </c>
      <c r="D46" s="31">
        <f>500*12</f>
        <v>6000</v>
      </c>
      <c r="E46" s="31">
        <f t="shared" si="2"/>
        <v>6300</v>
      </c>
      <c r="F46" s="31">
        <f t="shared" si="2"/>
        <v>6615</v>
      </c>
      <c r="G46" s="31">
        <f t="shared" si="2"/>
        <v>6945.75</v>
      </c>
      <c r="H46" s="31">
        <f t="shared" si="2"/>
        <v>7293.0375</v>
      </c>
      <c r="I46" s="31">
        <f t="shared" si="1"/>
        <v>33153.7875</v>
      </c>
    </row>
    <row r="47" spans="1:9" ht="15.75">
      <c r="A47">
        <v>1</v>
      </c>
      <c r="B47" s="6" t="s">
        <v>47</v>
      </c>
      <c r="C47" s="6" t="s">
        <v>11</v>
      </c>
      <c r="D47" s="31">
        <f>400*12</f>
        <v>4800</v>
      </c>
      <c r="E47" s="31">
        <f t="shared" si="2"/>
        <v>5040</v>
      </c>
      <c r="F47" s="31">
        <f t="shared" si="2"/>
        <v>5292</v>
      </c>
      <c r="G47" s="31">
        <f t="shared" si="2"/>
        <v>5556.6</v>
      </c>
      <c r="H47" s="31">
        <f t="shared" si="2"/>
        <v>5834.43</v>
      </c>
      <c r="I47" s="31">
        <f t="shared" si="1"/>
        <v>26523.03</v>
      </c>
    </row>
    <row r="48" spans="1:9" ht="15.75">
      <c r="A48">
        <v>1</v>
      </c>
      <c r="B48" s="6" t="s">
        <v>48</v>
      </c>
      <c r="C48" s="6" t="s">
        <v>11</v>
      </c>
      <c r="D48" s="31">
        <f>400*12</f>
        <v>4800</v>
      </c>
      <c r="E48" s="31">
        <f t="shared" si="2"/>
        <v>5040</v>
      </c>
      <c r="F48" s="31">
        <f t="shared" si="2"/>
        <v>5292</v>
      </c>
      <c r="G48" s="31">
        <f t="shared" si="2"/>
        <v>5556.6</v>
      </c>
      <c r="H48" s="31">
        <f t="shared" si="2"/>
        <v>5834.43</v>
      </c>
      <c r="I48" s="31">
        <f t="shared" si="1"/>
        <v>26523.03</v>
      </c>
    </row>
    <row r="49" spans="1:9" ht="15.75">
      <c r="A49">
        <v>1</v>
      </c>
      <c r="B49" s="6" t="s">
        <v>49</v>
      </c>
      <c r="C49" s="6" t="s">
        <v>73</v>
      </c>
      <c r="D49" s="31">
        <f>300*12</f>
        <v>3600</v>
      </c>
      <c r="E49" s="31">
        <f t="shared" si="2"/>
        <v>3780</v>
      </c>
      <c r="F49" s="31">
        <f t="shared" si="2"/>
        <v>3969</v>
      </c>
      <c r="G49" s="31">
        <f t="shared" si="2"/>
        <v>4167.45</v>
      </c>
      <c r="H49" s="31">
        <f t="shared" si="2"/>
        <v>4375.8225</v>
      </c>
      <c r="I49" s="31">
        <f t="shared" si="1"/>
        <v>19892.2725</v>
      </c>
    </row>
    <row r="50" spans="1:9" ht="15.75">
      <c r="A50">
        <v>1</v>
      </c>
      <c r="B50" s="6" t="s">
        <v>50</v>
      </c>
      <c r="C50" s="6" t="s">
        <v>73</v>
      </c>
      <c r="D50" s="31">
        <f>300*12</f>
        <v>3600</v>
      </c>
      <c r="E50" s="31">
        <f t="shared" si="2"/>
        <v>3780</v>
      </c>
      <c r="F50" s="31">
        <f t="shared" si="2"/>
        <v>3969</v>
      </c>
      <c r="G50" s="31">
        <f t="shared" si="2"/>
        <v>4167.45</v>
      </c>
      <c r="H50" s="31">
        <f t="shared" si="2"/>
        <v>4375.8225</v>
      </c>
      <c r="I50" s="31">
        <f t="shared" si="1"/>
        <v>19892.2725</v>
      </c>
    </row>
    <row r="52" spans="1:9" ht="15.75">
      <c r="A52" s="206">
        <f>SUM(A12:A50)</f>
        <v>39</v>
      </c>
      <c r="B52" s="204" t="s">
        <v>72</v>
      </c>
      <c r="C52" s="204"/>
      <c r="D52" s="205">
        <f aca="true" t="shared" si="3" ref="D52:I52">SUM(D12:D50)</f>
        <v>455200</v>
      </c>
      <c r="E52" s="205">
        <f t="shared" si="3"/>
        <v>477960</v>
      </c>
      <c r="F52" s="205">
        <f t="shared" si="3"/>
        <v>501858</v>
      </c>
      <c r="G52" s="205">
        <f t="shared" si="3"/>
        <v>526950.8999999998</v>
      </c>
      <c r="H52" s="205">
        <f t="shared" si="3"/>
        <v>553298.4449999998</v>
      </c>
      <c r="I52" s="205">
        <f t="shared" si="3"/>
        <v>2515267.345</v>
      </c>
    </row>
    <row r="53" spans="2:9" ht="15.75">
      <c r="B53" s="6"/>
      <c r="C53" s="6"/>
      <c r="D53" s="9"/>
      <c r="E53" s="31"/>
      <c r="F53" s="31"/>
      <c r="G53" s="31"/>
      <c r="H53" s="31"/>
      <c r="I53" s="31"/>
    </row>
    <row r="54" spans="2:9" ht="15.75">
      <c r="B54" s="204" t="s">
        <v>110</v>
      </c>
      <c r="C54" s="6"/>
      <c r="D54" s="9"/>
      <c r="E54" s="31"/>
      <c r="F54" s="31"/>
      <c r="G54" s="31"/>
      <c r="H54" s="31"/>
      <c r="I54" s="31"/>
    </row>
    <row r="55" spans="1:9" ht="15.75">
      <c r="A55">
        <v>1</v>
      </c>
      <c r="B55" s="6" t="s">
        <v>51</v>
      </c>
      <c r="C55" s="6" t="s">
        <v>543</v>
      </c>
      <c r="D55" s="31">
        <f>2500*12</f>
        <v>30000</v>
      </c>
      <c r="E55" s="31">
        <f>+D55</f>
        <v>30000</v>
      </c>
      <c r="F55" s="31"/>
      <c r="G55" s="31"/>
      <c r="H55" s="31"/>
      <c r="I55" s="31">
        <f aca="true" t="shared" si="4" ref="I55:I92">SUM(D55:H55)</f>
        <v>60000</v>
      </c>
    </row>
    <row r="56" spans="1:9" ht="15.75">
      <c r="A56">
        <v>1</v>
      </c>
      <c r="B56" s="6" t="s">
        <v>52</v>
      </c>
      <c r="C56" s="6" t="s">
        <v>543</v>
      </c>
      <c r="D56" s="31">
        <f>2500*12</f>
        <v>30000</v>
      </c>
      <c r="E56" s="31">
        <f aca="true" t="shared" si="5" ref="E56:E70">+D56</f>
        <v>30000</v>
      </c>
      <c r="F56" s="31"/>
      <c r="G56" s="31"/>
      <c r="H56" s="31"/>
      <c r="I56" s="31">
        <f t="shared" si="4"/>
        <v>60000</v>
      </c>
    </row>
    <row r="57" spans="1:9" ht="15.75">
      <c r="A57">
        <v>1</v>
      </c>
      <c r="B57" s="6" t="s">
        <v>53</v>
      </c>
      <c r="C57" s="6" t="s">
        <v>543</v>
      </c>
      <c r="D57" s="31">
        <f>2500*12</f>
        <v>30000</v>
      </c>
      <c r="E57" s="31">
        <f t="shared" si="5"/>
        <v>30000</v>
      </c>
      <c r="F57" s="31"/>
      <c r="G57" s="31"/>
      <c r="H57" s="31"/>
      <c r="I57" s="31">
        <f t="shared" si="4"/>
        <v>60000</v>
      </c>
    </row>
    <row r="58" spans="1:9" ht="15.75">
      <c r="A58">
        <v>1</v>
      </c>
      <c r="B58" s="6" t="s">
        <v>54</v>
      </c>
      <c r="C58" s="6" t="s">
        <v>544</v>
      </c>
      <c r="D58" s="31">
        <f aca="true" t="shared" si="6" ref="D58:D63">500*12</f>
        <v>6000</v>
      </c>
      <c r="E58" s="31">
        <f t="shared" si="5"/>
        <v>6000</v>
      </c>
      <c r="F58" s="31"/>
      <c r="G58" s="31"/>
      <c r="H58" s="31"/>
      <c r="I58" s="31">
        <f t="shared" si="4"/>
        <v>12000</v>
      </c>
    </row>
    <row r="59" spans="1:9" ht="15.75">
      <c r="A59">
        <v>1</v>
      </c>
      <c r="B59" s="6" t="s">
        <v>55</v>
      </c>
      <c r="C59" s="6" t="s">
        <v>544</v>
      </c>
      <c r="D59" s="31">
        <f t="shared" si="6"/>
        <v>6000</v>
      </c>
      <c r="E59" s="31">
        <f t="shared" si="5"/>
        <v>6000</v>
      </c>
      <c r="F59" s="31"/>
      <c r="G59" s="31"/>
      <c r="H59" s="31"/>
      <c r="I59" s="31">
        <f t="shared" si="4"/>
        <v>12000</v>
      </c>
    </row>
    <row r="60" spans="1:9" ht="15.75">
      <c r="A60">
        <v>1</v>
      </c>
      <c r="B60" s="6" t="s">
        <v>56</v>
      </c>
      <c r="C60" s="6" t="s">
        <v>544</v>
      </c>
      <c r="D60" s="31">
        <f t="shared" si="6"/>
        <v>6000</v>
      </c>
      <c r="E60" s="31">
        <f t="shared" si="5"/>
        <v>6000</v>
      </c>
      <c r="F60" s="31"/>
      <c r="G60" s="31"/>
      <c r="H60" s="31"/>
      <c r="I60" s="31">
        <f t="shared" si="4"/>
        <v>12000</v>
      </c>
    </row>
    <row r="61" spans="1:9" ht="15.75">
      <c r="A61">
        <v>1</v>
      </c>
      <c r="B61" s="6" t="s">
        <v>57</v>
      </c>
      <c r="C61" s="6" t="s">
        <v>544</v>
      </c>
      <c r="D61" s="31">
        <f t="shared" si="6"/>
        <v>6000</v>
      </c>
      <c r="E61" s="31">
        <f t="shared" si="5"/>
        <v>6000</v>
      </c>
      <c r="F61" s="31"/>
      <c r="G61" s="31"/>
      <c r="H61" s="31"/>
      <c r="I61" s="31">
        <f t="shared" si="4"/>
        <v>12000</v>
      </c>
    </row>
    <row r="62" spans="1:9" ht="15.75">
      <c r="A62">
        <v>1</v>
      </c>
      <c r="B62" s="6" t="s">
        <v>58</v>
      </c>
      <c r="C62" s="6" t="s">
        <v>544</v>
      </c>
      <c r="D62" s="31">
        <f t="shared" si="6"/>
        <v>6000</v>
      </c>
      <c r="E62" s="31">
        <f t="shared" si="5"/>
        <v>6000</v>
      </c>
      <c r="F62" s="31"/>
      <c r="G62" s="31"/>
      <c r="H62" s="31"/>
      <c r="I62" s="31">
        <f t="shared" si="4"/>
        <v>12000</v>
      </c>
    </row>
    <row r="63" spans="1:9" ht="15.75">
      <c r="A63">
        <v>1</v>
      </c>
      <c r="B63" s="6" t="s">
        <v>59</v>
      </c>
      <c r="C63" s="6" t="s">
        <v>544</v>
      </c>
      <c r="D63" s="31">
        <f t="shared" si="6"/>
        <v>6000</v>
      </c>
      <c r="E63" s="31">
        <f t="shared" si="5"/>
        <v>6000</v>
      </c>
      <c r="F63" s="31"/>
      <c r="G63" s="31"/>
      <c r="H63" s="31"/>
      <c r="I63" s="31">
        <f t="shared" si="4"/>
        <v>12000</v>
      </c>
    </row>
    <row r="64" spans="1:9" ht="15.75">
      <c r="A64">
        <v>1</v>
      </c>
      <c r="B64" s="6" t="s">
        <v>60</v>
      </c>
      <c r="C64" s="6" t="s">
        <v>545</v>
      </c>
      <c r="D64" s="31">
        <f>750*12</f>
        <v>9000</v>
      </c>
      <c r="E64" s="31">
        <f t="shared" si="5"/>
        <v>9000</v>
      </c>
      <c r="F64" s="233"/>
      <c r="G64" s="233"/>
      <c r="H64" s="31"/>
      <c r="I64" s="31">
        <f t="shared" si="4"/>
        <v>18000</v>
      </c>
    </row>
    <row r="65" spans="1:9" ht="15.75">
      <c r="A65">
        <v>1</v>
      </c>
      <c r="B65" s="6" t="s">
        <v>61</v>
      </c>
      <c r="C65" s="6" t="s">
        <v>545</v>
      </c>
      <c r="D65" s="31">
        <f>750*12</f>
        <v>9000</v>
      </c>
      <c r="E65" s="31">
        <f t="shared" si="5"/>
        <v>9000</v>
      </c>
      <c r="F65" s="233"/>
      <c r="G65" s="233"/>
      <c r="H65" s="31"/>
      <c r="I65" s="31">
        <f t="shared" si="4"/>
        <v>18000</v>
      </c>
    </row>
    <row r="66" spans="1:9" ht="15.75">
      <c r="A66">
        <v>1</v>
      </c>
      <c r="B66" s="6" t="s">
        <v>62</v>
      </c>
      <c r="C66" s="6" t="s">
        <v>544</v>
      </c>
      <c r="D66" s="31">
        <f>500*12</f>
        <v>6000</v>
      </c>
      <c r="E66" s="31">
        <f t="shared" si="5"/>
        <v>6000</v>
      </c>
      <c r="F66" s="233"/>
      <c r="G66" s="233"/>
      <c r="H66" s="31"/>
      <c r="I66" s="31">
        <f t="shared" si="4"/>
        <v>12000</v>
      </c>
    </row>
    <row r="67" spans="1:9" ht="15.75">
      <c r="A67">
        <v>1</v>
      </c>
      <c r="B67" s="6" t="s">
        <v>63</v>
      </c>
      <c r="C67" s="6" t="s">
        <v>545</v>
      </c>
      <c r="D67" s="31">
        <f>750*12</f>
        <v>9000</v>
      </c>
      <c r="E67" s="31">
        <f t="shared" si="5"/>
        <v>9000</v>
      </c>
      <c r="F67" s="233"/>
      <c r="G67" s="233"/>
      <c r="H67" s="31"/>
      <c r="I67" s="31">
        <f t="shared" si="4"/>
        <v>18000</v>
      </c>
    </row>
    <row r="68" spans="1:9" ht="15.75">
      <c r="A68">
        <v>1</v>
      </c>
      <c r="B68" s="6" t="s">
        <v>64</v>
      </c>
      <c r="C68" s="6" t="s">
        <v>544</v>
      </c>
      <c r="D68" s="31">
        <f>500*12</f>
        <v>6000</v>
      </c>
      <c r="E68" s="31">
        <f t="shared" si="5"/>
        <v>6000</v>
      </c>
      <c r="F68" s="233"/>
      <c r="G68" s="233"/>
      <c r="H68" s="31"/>
      <c r="I68" s="31">
        <f t="shared" si="4"/>
        <v>12000</v>
      </c>
    </row>
    <row r="69" spans="1:9" ht="15.75">
      <c r="A69">
        <v>1</v>
      </c>
      <c r="B69" s="6" t="s">
        <v>65</v>
      </c>
      <c r="C69" s="6" t="s">
        <v>544</v>
      </c>
      <c r="D69" s="31">
        <f>500*12</f>
        <v>6000</v>
      </c>
      <c r="E69" s="31">
        <f t="shared" si="5"/>
        <v>6000</v>
      </c>
      <c r="F69" s="233"/>
      <c r="G69" s="233"/>
      <c r="H69" s="31"/>
      <c r="I69" s="31">
        <f t="shared" si="4"/>
        <v>12000</v>
      </c>
    </row>
    <row r="70" spans="1:9" ht="15.75">
      <c r="A70">
        <v>1</v>
      </c>
      <c r="B70" s="6" t="s">
        <v>66</v>
      </c>
      <c r="C70" s="6" t="s">
        <v>544</v>
      </c>
      <c r="D70" s="31">
        <f>500*12</f>
        <v>6000</v>
      </c>
      <c r="E70" s="31">
        <f t="shared" si="5"/>
        <v>6000</v>
      </c>
      <c r="F70" s="233"/>
      <c r="G70" s="233"/>
      <c r="H70" s="31"/>
      <c r="I70" s="31">
        <f t="shared" si="4"/>
        <v>12000</v>
      </c>
    </row>
    <row r="71" spans="1:9" ht="15.75">
      <c r="A71" s="30">
        <f>+C149</f>
        <v>1750</v>
      </c>
      <c r="B71" s="6" t="s">
        <v>554</v>
      </c>
      <c r="C71" s="333" t="s">
        <v>117</v>
      </c>
      <c r="D71" s="31">
        <f>+(F149*12)-(F131*11)</f>
        <v>3192000</v>
      </c>
      <c r="E71" s="31">
        <v>3153600</v>
      </c>
      <c r="F71" s="233"/>
      <c r="G71" s="233"/>
      <c r="H71" s="31"/>
      <c r="I71" s="31">
        <f t="shared" si="4"/>
        <v>6345600</v>
      </c>
    </row>
    <row r="72" spans="1:9" ht="15.75">
      <c r="A72" s="30"/>
      <c r="B72" t="s">
        <v>119</v>
      </c>
      <c r="C72" s="31"/>
      <c r="D72" s="31"/>
      <c r="E72" s="233"/>
      <c r="F72" s="233"/>
      <c r="G72" s="233"/>
      <c r="H72" s="31"/>
      <c r="I72" s="31">
        <f t="shared" si="4"/>
        <v>0</v>
      </c>
    </row>
    <row r="73" spans="1:9" ht="15.75">
      <c r="A73" s="30">
        <f>+G149</f>
        <v>32</v>
      </c>
      <c r="B73" s="6" t="s">
        <v>555</v>
      </c>
      <c r="C73" s="335" t="s">
        <v>118</v>
      </c>
      <c r="D73" s="31">
        <f>+(J149*12)-(J131*11)</f>
        <v>107712</v>
      </c>
      <c r="E73" s="31">
        <v>107136</v>
      </c>
      <c r="F73" s="233"/>
      <c r="G73" s="233"/>
      <c r="H73" s="31"/>
      <c r="I73" s="31">
        <f t="shared" si="4"/>
        <v>214848</v>
      </c>
    </row>
    <row r="74" spans="1:9" ht="15.75">
      <c r="A74" s="30"/>
      <c r="B74" t="s">
        <v>119</v>
      </c>
      <c r="C74" s="6"/>
      <c r="D74" s="31"/>
      <c r="E74" s="233"/>
      <c r="F74" s="233"/>
      <c r="G74" s="233"/>
      <c r="H74" s="31"/>
      <c r="I74" s="31">
        <f t="shared" si="4"/>
        <v>0</v>
      </c>
    </row>
    <row r="75" spans="1:9" ht="15.75">
      <c r="A75">
        <v>1</v>
      </c>
      <c r="B75" s="5" t="s">
        <v>67</v>
      </c>
      <c r="C75" s="6" t="s">
        <v>551</v>
      </c>
      <c r="D75" s="31">
        <f aca="true" t="shared" si="7" ref="D75:E77">2000*12</f>
        <v>24000</v>
      </c>
      <c r="E75" s="31">
        <f t="shared" si="7"/>
        <v>24000</v>
      </c>
      <c r="F75" s="233"/>
      <c r="G75" s="233"/>
      <c r="H75" s="31"/>
      <c r="I75" s="31">
        <f aca="true" t="shared" si="8" ref="I75:I80">SUM(D75:H75)</f>
        <v>48000</v>
      </c>
    </row>
    <row r="76" spans="1:9" ht="15.75">
      <c r="A76">
        <v>1</v>
      </c>
      <c r="B76" s="5" t="s">
        <v>68</v>
      </c>
      <c r="C76" s="6" t="s">
        <v>551</v>
      </c>
      <c r="D76" s="31">
        <f t="shared" si="7"/>
        <v>24000</v>
      </c>
      <c r="E76" s="31">
        <f t="shared" si="7"/>
        <v>24000</v>
      </c>
      <c r="F76" s="233"/>
      <c r="G76" s="233"/>
      <c r="H76" s="31"/>
      <c r="I76" s="31">
        <f t="shared" si="8"/>
        <v>48000</v>
      </c>
    </row>
    <row r="77" spans="1:9" ht="15.75">
      <c r="A77">
        <v>1</v>
      </c>
      <c r="B77" s="5" t="s">
        <v>69</v>
      </c>
      <c r="C77" s="6" t="s">
        <v>551</v>
      </c>
      <c r="D77" s="31">
        <f t="shared" si="7"/>
        <v>24000</v>
      </c>
      <c r="E77" s="31">
        <f t="shared" si="7"/>
        <v>24000</v>
      </c>
      <c r="F77" s="233"/>
      <c r="G77" s="233"/>
      <c r="H77" s="31"/>
      <c r="I77" s="31">
        <f t="shared" si="8"/>
        <v>48000</v>
      </c>
    </row>
    <row r="78" spans="1:9" ht="15.75">
      <c r="A78" s="6">
        <v>1</v>
      </c>
      <c r="B78" s="5" t="s">
        <v>70</v>
      </c>
      <c r="C78" s="6" t="s">
        <v>552</v>
      </c>
      <c r="D78" s="31">
        <f>3000*12</f>
        <v>36000</v>
      </c>
      <c r="E78" s="31">
        <f>3000*12</f>
        <v>36000</v>
      </c>
      <c r="F78" s="31">
        <f>3000*12</f>
        <v>36000</v>
      </c>
      <c r="G78" s="31">
        <f>3000*12</f>
        <v>36000</v>
      </c>
      <c r="H78" s="31">
        <f>3000*12</f>
        <v>36000</v>
      </c>
      <c r="I78" s="31">
        <f t="shared" si="8"/>
        <v>180000</v>
      </c>
    </row>
    <row r="79" spans="1:9" ht="15.75">
      <c r="A79" s="6">
        <v>1</v>
      </c>
      <c r="B79" s="6" t="s">
        <v>71</v>
      </c>
      <c r="C79" s="6" t="s">
        <v>553</v>
      </c>
      <c r="D79" s="31">
        <f>1500*12</f>
        <v>18000</v>
      </c>
      <c r="E79" s="31">
        <f>1500*12</f>
        <v>18000</v>
      </c>
      <c r="F79" s="31">
        <f>1500*12</f>
        <v>18000</v>
      </c>
      <c r="G79" s="31">
        <f>1500*12</f>
        <v>18000</v>
      </c>
      <c r="H79" s="31">
        <f>1500*12</f>
        <v>18000</v>
      </c>
      <c r="I79" s="31">
        <f t="shared" si="8"/>
        <v>90000</v>
      </c>
    </row>
    <row r="80" spans="1:9" ht="15.75">
      <c r="A80">
        <v>15</v>
      </c>
      <c r="B80" s="6" t="s">
        <v>587</v>
      </c>
      <c r="C80" s="6" t="s">
        <v>588</v>
      </c>
      <c r="D80" s="31">
        <f>400*12*25</f>
        <v>120000</v>
      </c>
      <c r="E80" s="31">
        <f>+D80*1.05</f>
        <v>126000</v>
      </c>
      <c r="F80" s="31">
        <f>+E80*1.05</f>
        <v>132300</v>
      </c>
      <c r="G80" s="31">
        <f>+F80*1.05</f>
        <v>138915</v>
      </c>
      <c r="H80" s="31">
        <f>+G80*1.05</f>
        <v>145860.75</v>
      </c>
      <c r="I80" s="31">
        <f t="shared" si="8"/>
        <v>663075.75</v>
      </c>
    </row>
    <row r="81" spans="1:9" ht="15.75">
      <c r="A81" s="30"/>
      <c r="C81" s="6"/>
      <c r="D81" s="31"/>
      <c r="E81" s="233"/>
      <c r="F81" s="233"/>
      <c r="G81" s="233"/>
      <c r="H81" s="31"/>
      <c r="I81" s="31"/>
    </row>
    <row r="82" spans="1:10" ht="15.75">
      <c r="A82" s="266">
        <f>SUM(A55:A80)</f>
        <v>1818</v>
      </c>
      <c r="B82" s="204" t="s">
        <v>72</v>
      </c>
      <c r="C82" s="204"/>
      <c r="D82" s="267">
        <f>SUM(D55:D80)</f>
        <v>3722712</v>
      </c>
      <c r="E82" s="267">
        <f>SUM(E55:E80)</f>
        <v>3689736</v>
      </c>
      <c r="F82" s="267">
        <f>SUM(F55:F80)</f>
        <v>186300</v>
      </c>
      <c r="G82" s="267">
        <f>SUM(G55:G80)</f>
        <v>192915</v>
      </c>
      <c r="H82" s="267">
        <f>SUM(H55:H80)</f>
        <v>199860.75</v>
      </c>
      <c r="I82" s="267">
        <f>SUM(D82:H82)</f>
        <v>7991523.75</v>
      </c>
      <c r="J82" s="10">
        <f>SUM(I55:I80)</f>
        <v>7991523.75</v>
      </c>
    </row>
    <row r="83" spans="1:9" ht="15.75">
      <c r="A83" s="30"/>
      <c r="C83" s="6"/>
      <c r="D83" s="31"/>
      <c r="E83" s="233"/>
      <c r="F83" s="233"/>
      <c r="G83" s="233"/>
      <c r="H83" s="31"/>
      <c r="I83" s="31"/>
    </row>
    <row r="84" spans="1:10" ht="15.75">
      <c r="A84" s="265"/>
      <c r="B84" s="204" t="s">
        <v>568</v>
      </c>
      <c r="C84" s="6"/>
      <c r="D84" s="31"/>
      <c r="E84" s="31"/>
      <c r="F84" s="31"/>
      <c r="G84" s="31"/>
      <c r="H84" s="31"/>
      <c r="I84" s="31"/>
      <c r="J84" s="6"/>
    </row>
    <row r="85" spans="1:10" ht="15.75">
      <c r="A85" s="265">
        <f>+C152</f>
        <v>250</v>
      </c>
      <c r="B85" s="6" t="s">
        <v>114</v>
      </c>
      <c r="C85" s="6" t="s">
        <v>546</v>
      </c>
      <c r="D85" s="31">
        <f>42000*12</f>
        <v>504000</v>
      </c>
      <c r="E85" s="31">
        <f>42000*12</f>
        <v>504000</v>
      </c>
      <c r="F85" s="31">
        <f>42000*12</f>
        <v>504000</v>
      </c>
      <c r="G85" s="31"/>
      <c r="H85" s="31"/>
      <c r="I85" s="31">
        <f t="shared" si="4"/>
        <v>1512000</v>
      </c>
      <c r="J85" s="6"/>
    </row>
    <row r="86" spans="1:10" ht="15.75">
      <c r="A86" s="265">
        <f>+G152</f>
        <v>2</v>
      </c>
      <c r="B86" s="6" t="s">
        <v>116</v>
      </c>
      <c r="C86" s="6" t="s">
        <v>547</v>
      </c>
      <c r="D86" s="31">
        <f>576*12</f>
        <v>6912</v>
      </c>
      <c r="E86" s="31">
        <f>576*12</f>
        <v>6912</v>
      </c>
      <c r="F86" s="31">
        <f>576*12</f>
        <v>6912</v>
      </c>
      <c r="G86" s="31"/>
      <c r="H86" s="31"/>
      <c r="I86" s="31">
        <f t="shared" si="4"/>
        <v>20736</v>
      </c>
      <c r="J86" s="6"/>
    </row>
    <row r="87" spans="1:10" ht="15.75">
      <c r="A87" s="265"/>
      <c r="B87" s="6"/>
      <c r="C87" s="6"/>
      <c r="D87" s="31"/>
      <c r="E87" s="31"/>
      <c r="F87" s="31"/>
      <c r="G87" s="31"/>
      <c r="H87" s="31"/>
      <c r="I87" s="31"/>
      <c r="J87" s="6"/>
    </row>
    <row r="88" spans="1:10" ht="15.75">
      <c r="A88" s="266">
        <f>SUM(A85:A86)</f>
        <v>252</v>
      </c>
      <c r="B88" s="204" t="s">
        <v>72</v>
      </c>
      <c r="C88" s="204"/>
      <c r="D88" s="267">
        <f>SUM(D85:D86)</f>
        <v>510912</v>
      </c>
      <c r="E88" s="267">
        <f>SUM(E85:E86)</f>
        <v>510912</v>
      </c>
      <c r="F88" s="267">
        <f>SUM(F85:F86)</f>
        <v>510912</v>
      </c>
      <c r="G88" s="267">
        <f>SUM(G85:G86)</f>
        <v>0</v>
      </c>
      <c r="H88" s="267">
        <f>SUM(H85:H86)</f>
        <v>0</v>
      </c>
      <c r="I88" s="267">
        <f>SUM(D88:H88)</f>
        <v>1532736</v>
      </c>
      <c r="J88" s="31">
        <f>SUM(I85:I86)</f>
        <v>1532736</v>
      </c>
    </row>
    <row r="89" spans="1:10" ht="15.75">
      <c r="A89" s="265"/>
      <c r="B89" s="6"/>
      <c r="C89" s="6"/>
      <c r="D89" s="31"/>
      <c r="E89" s="31"/>
      <c r="F89" s="31"/>
      <c r="G89" s="31"/>
      <c r="H89" s="31"/>
      <c r="I89" s="31"/>
      <c r="J89" s="6"/>
    </row>
    <row r="90" spans="1:10" ht="15.75">
      <c r="A90" s="265"/>
      <c r="B90" s="5" t="s">
        <v>569</v>
      </c>
      <c r="C90" s="6"/>
      <c r="D90" s="31"/>
      <c r="E90" s="31"/>
      <c r="F90" s="31"/>
      <c r="G90" s="31"/>
      <c r="H90" s="31"/>
      <c r="I90" s="31"/>
      <c r="J90" s="6"/>
    </row>
    <row r="91" spans="1:10" ht="15.75">
      <c r="A91" s="265">
        <f>+C153</f>
        <v>200</v>
      </c>
      <c r="B91" s="6" t="s">
        <v>115</v>
      </c>
      <c r="C91" s="6" t="s">
        <v>548</v>
      </c>
      <c r="D91" s="31">
        <f>33600*12</f>
        <v>403200</v>
      </c>
      <c r="E91" s="31">
        <f>33600*12</f>
        <v>403200</v>
      </c>
      <c r="F91" s="31"/>
      <c r="G91" s="31"/>
      <c r="H91" s="31"/>
      <c r="I91" s="31">
        <f t="shared" si="4"/>
        <v>806400</v>
      </c>
      <c r="J91" s="6"/>
    </row>
    <row r="92" spans="1:10" ht="15.75">
      <c r="A92" s="265">
        <f>+G153</f>
        <v>1</v>
      </c>
      <c r="B92" s="6" t="s">
        <v>549</v>
      </c>
      <c r="C92" s="6" t="s">
        <v>550</v>
      </c>
      <c r="D92" s="31">
        <f>288*12</f>
        <v>3456</v>
      </c>
      <c r="E92" s="31">
        <f>288*12</f>
        <v>3456</v>
      </c>
      <c r="F92" s="31"/>
      <c r="G92" s="31"/>
      <c r="H92" s="31"/>
      <c r="I92" s="31">
        <f t="shared" si="4"/>
        <v>6912</v>
      </c>
      <c r="J92" s="6"/>
    </row>
    <row r="93" ht="15.75">
      <c r="J93" s="6"/>
    </row>
    <row r="94" spans="1:10" ht="15.75">
      <c r="A94" s="266">
        <f>SUM(A91:A93)</f>
        <v>201</v>
      </c>
      <c r="B94" s="204" t="s">
        <v>72</v>
      </c>
      <c r="C94" s="204"/>
      <c r="D94" s="267">
        <f>SUM(D91:D93)</f>
        <v>406656</v>
      </c>
      <c r="E94" s="267">
        <f>SUM(E91:E93)</f>
        <v>406656</v>
      </c>
      <c r="F94" s="267">
        <f>SUM(F91:F93)</f>
        <v>0</v>
      </c>
      <c r="G94" s="267">
        <f>SUM(G91:G93)</f>
        <v>0</v>
      </c>
      <c r="H94" s="267">
        <f>SUM(H91:H93)</f>
        <v>0</v>
      </c>
      <c r="I94" s="267">
        <f>SUM(D94:H94)</f>
        <v>813312</v>
      </c>
      <c r="J94" s="31">
        <f>SUM(I91:I93)</f>
        <v>813312</v>
      </c>
    </row>
    <row r="95" spans="4:9" ht="15.75">
      <c r="D95" s="10"/>
      <c r="E95" s="10"/>
      <c r="F95" s="10"/>
      <c r="G95" s="10"/>
      <c r="H95" s="31"/>
      <c r="I95" s="31"/>
    </row>
    <row r="96" spans="1:13" ht="15.75">
      <c r="A96" s="6"/>
      <c r="B96" s="269" t="s">
        <v>557</v>
      </c>
      <c r="C96" s="232"/>
      <c r="D96" s="232"/>
      <c r="E96" s="232"/>
      <c r="F96" s="253"/>
      <c r="G96" s="253"/>
      <c r="H96" s="253"/>
      <c r="I96" s="270"/>
      <c r="J96" s="270"/>
      <c r="K96" s="236"/>
      <c r="L96" s="237"/>
      <c r="M96" s="236"/>
    </row>
    <row r="97" spans="1:13" ht="15.75">
      <c r="A97" s="6"/>
      <c r="B97" s="208" t="s">
        <v>123</v>
      </c>
      <c r="C97" s="253"/>
      <c r="D97" s="249"/>
      <c r="E97" s="249"/>
      <c r="F97" s="250"/>
      <c r="G97" s="250"/>
      <c r="H97" s="250"/>
      <c r="I97" s="250"/>
      <c r="J97" s="250"/>
      <c r="K97" s="238"/>
      <c r="L97" s="239"/>
      <c r="M97" s="238"/>
    </row>
    <row r="98" spans="1:13" ht="15.75">
      <c r="A98" s="271">
        <v>36</v>
      </c>
      <c r="B98" s="217" t="s">
        <v>125</v>
      </c>
      <c r="C98" s="31">
        <f>3600*36</f>
        <v>129600</v>
      </c>
      <c r="D98" s="31">
        <v>140000</v>
      </c>
      <c r="E98" s="233">
        <f aca="true" t="shared" si="9" ref="E98:H103">+D98*1.05</f>
        <v>147000</v>
      </c>
      <c r="F98" s="233">
        <f t="shared" si="9"/>
        <v>154350</v>
      </c>
      <c r="G98" s="233">
        <f t="shared" si="9"/>
        <v>162067.5</v>
      </c>
      <c r="H98" s="233">
        <f t="shared" si="9"/>
        <v>170170.875</v>
      </c>
      <c r="I98" s="233">
        <f aca="true" t="shared" si="10" ref="I98:I104">SUM(D98:H98)</f>
        <v>773588.375</v>
      </c>
      <c r="J98" s="6"/>
      <c r="K98" s="241"/>
      <c r="L98" s="241"/>
      <c r="M98" s="241"/>
    </row>
    <row r="99" spans="1:13" ht="15.75">
      <c r="A99" s="272">
        <v>36</v>
      </c>
      <c r="B99" s="217" t="s">
        <v>127</v>
      </c>
      <c r="C99" s="31">
        <f>2400*36</f>
        <v>86400</v>
      </c>
      <c r="D99" s="31">
        <v>90000</v>
      </c>
      <c r="E99" s="233">
        <f t="shared" si="9"/>
        <v>94500</v>
      </c>
      <c r="F99" s="233">
        <f t="shared" si="9"/>
        <v>99225</v>
      </c>
      <c r="G99" s="233">
        <f t="shared" si="9"/>
        <v>104186.25</v>
      </c>
      <c r="H99" s="233">
        <f t="shared" si="9"/>
        <v>109395.5625</v>
      </c>
      <c r="I99" s="233">
        <f t="shared" si="10"/>
        <v>497306.8125</v>
      </c>
      <c r="J99" s="6"/>
      <c r="K99" s="242"/>
      <c r="L99" s="242"/>
      <c r="M99" s="242"/>
    </row>
    <row r="100" spans="1:13" ht="15.75">
      <c r="A100" s="271">
        <v>3</v>
      </c>
      <c r="B100" s="217" t="s">
        <v>129</v>
      </c>
      <c r="C100" s="31">
        <f>550*12*3</f>
        <v>19800</v>
      </c>
      <c r="D100" s="31">
        <v>25000</v>
      </c>
      <c r="E100" s="233">
        <f t="shared" si="9"/>
        <v>26250</v>
      </c>
      <c r="F100" s="233">
        <f t="shared" si="9"/>
        <v>27562.5</v>
      </c>
      <c r="G100" s="233">
        <f t="shared" si="9"/>
        <v>28940.625</v>
      </c>
      <c r="H100" s="233">
        <f t="shared" si="9"/>
        <v>30387.65625</v>
      </c>
      <c r="I100" s="233">
        <f t="shared" si="10"/>
        <v>138140.78125</v>
      </c>
      <c r="J100" s="6"/>
      <c r="K100" s="240"/>
      <c r="L100" s="240"/>
      <c r="M100" s="240"/>
    </row>
    <row r="101" spans="1:13" ht="15.75">
      <c r="A101" s="271">
        <v>3</v>
      </c>
      <c r="B101" s="217" t="s">
        <v>131</v>
      </c>
      <c r="C101" s="31">
        <f>450*12*3</f>
        <v>16200</v>
      </c>
      <c r="D101" s="31">
        <v>20000</v>
      </c>
      <c r="E101" s="233">
        <f t="shared" si="9"/>
        <v>21000</v>
      </c>
      <c r="F101" s="233">
        <f t="shared" si="9"/>
        <v>22050</v>
      </c>
      <c r="G101" s="233">
        <f t="shared" si="9"/>
        <v>23152.5</v>
      </c>
      <c r="H101" s="233">
        <f t="shared" si="9"/>
        <v>24310.125</v>
      </c>
      <c r="I101" s="233">
        <f t="shared" si="10"/>
        <v>110512.625</v>
      </c>
      <c r="J101" s="6"/>
      <c r="K101" s="241"/>
      <c r="L101" s="241"/>
      <c r="M101" s="241"/>
    </row>
    <row r="102" spans="1:13" ht="15.75">
      <c r="A102" s="271">
        <v>6</v>
      </c>
      <c r="B102" s="217" t="s">
        <v>133</v>
      </c>
      <c r="C102" s="31">
        <f>250*12*6</f>
        <v>18000</v>
      </c>
      <c r="D102" s="31">
        <v>20000</v>
      </c>
      <c r="E102" s="233">
        <f t="shared" si="9"/>
        <v>21000</v>
      </c>
      <c r="F102" s="233">
        <f t="shared" si="9"/>
        <v>22050</v>
      </c>
      <c r="G102" s="233">
        <f t="shared" si="9"/>
        <v>23152.5</v>
      </c>
      <c r="H102" s="233">
        <f t="shared" si="9"/>
        <v>24310.125</v>
      </c>
      <c r="I102" s="233">
        <f t="shared" si="10"/>
        <v>110512.625</v>
      </c>
      <c r="J102" s="6"/>
      <c r="K102" s="241"/>
      <c r="L102" s="241"/>
      <c r="M102" s="241"/>
    </row>
    <row r="103" spans="1:13" ht="15.75">
      <c r="A103" s="271">
        <v>1</v>
      </c>
      <c r="B103" s="217" t="s">
        <v>135</v>
      </c>
      <c r="C103" s="233">
        <v>10000</v>
      </c>
      <c r="D103" s="233">
        <v>10000</v>
      </c>
      <c r="E103" s="233">
        <f t="shared" si="9"/>
        <v>10500</v>
      </c>
      <c r="F103" s="233">
        <f t="shared" si="9"/>
        <v>11025</v>
      </c>
      <c r="G103" s="233">
        <f t="shared" si="9"/>
        <v>11576.25</v>
      </c>
      <c r="H103" s="233">
        <f t="shared" si="9"/>
        <v>12155.0625</v>
      </c>
      <c r="I103" s="233">
        <f t="shared" si="10"/>
        <v>55256.3125</v>
      </c>
      <c r="J103" s="6"/>
      <c r="K103" s="242"/>
      <c r="L103" s="242"/>
      <c r="M103" s="242"/>
    </row>
    <row r="104" spans="1:13" ht="15.75">
      <c r="A104" s="271"/>
      <c r="B104" s="208" t="s">
        <v>561</v>
      </c>
      <c r="C104" s="245">
        <f aca="true" t="shared" si="11" ref="C104:H104">SUM(C98:C103)</f>
        <v>280000</v>
      </c>
      <c r="D104" s="245">
        <f t="shared" si="11"/>
        <v>305000</v>
      </c>
      <c r="E104" s="245">
        <f t="shared" si="11"/>
        <v>320250</v>
      </c>
      <c r="F104" s="245">
        <f t="shared" si="11"/>
        <v>336262.5</v>
      </c>
      <c r="G104" s="245">
        <f t="shared" si="11"/>
        <v>353075.625</v>
      </c>
      <c r="H104" s="245">
        <f t="shared" si="11"/>
        <v>370729.40625</v>
      </c>
      <c r="I104" s="280">
        <f t="shared" si="10"/>
        <v>1685317.53125</v>
      </c>
      <c r="J104" s="31">
        <f>SUM(I98:I103)</f>
        <v>1685317.53125</v>
      </c>
      <c r="K104" s="242"/>
      <c r="L104" s="242"/>
      <c r="M104" s="242"/>
    </row>
    <row r="105" spans="1:13" ht="15.75">
      <c r="A105" s="271"/>
      <c r="B105" s="232"/>
      <c r="C105" s="248"/>
      <c r="D105" s="248"/>
      <c r="E105" s="248"/>
      <c r="F105" s="248"/>
      <c r="G105" s="248"/>
      <c r="H105" s="248"/>
      <c r="I105" s="31" t="s">
        <v>80</v>
      </c>
      <c r="J105" s="6"/>
      <c r="K105" s="236"/>
      <c r="L105" s="236"/>
      <c r="M105" s="236"/>
    </row>
    <row r="106" spans="1:13" ht="15.75">
      <c r="A106" s="271"/>
      <c r="B106" s="273" t="s">
        <v>558</v>
      </c>
      <c r="C106" s="249"/>
      <c r="D106" s="250"/>
      <c r="E106" s="250"/>
      <c r="F106" s="250"/>
      <c r="G106" s="250"/>
      <c r="H106" s="250"/>
      <c r="I106" s="31" t="s">
        <v>80</v>
      </c>
      <c r="J106" s="6"/>
      <c r="K106" s="238"/>
      <c r="L106" s="239"/>
      <c r="M106" s="238"/>
    </row>
    <row r="107" spans="1:13" ht="15.75">
      <c r="A107" s="271">
        <v>6</v>
      </c>
      <c r="B107" s="217" t="s">
        <v>145</v>
      </c>
      <c r="C107" s="249" t="s">
        <v>80</v>
      </c>
      <c r="D107" s="251">
        <v>200000</v>
      </c>
      <c r="E107" s="251">
        <f aca="true" t="shared" si="12" ref="E107:H109">+D107*1.05</f>
        <v>210000</v>
      </c>
      <c r="F107" s="251">
        <f t="shared" si="12"/>
        <v>220500</v>
      </c>
      <c r="G107" s="251">
        <f t="shared" si="12"/>
        <v>231525</v>
      </c>
      <c r="H107" s="251">
        <f t="shared" si="12"/>
        <v>243101.25</v>
      </c>
      <c r="I107" s="31">
        <f>SUM(D107:H107)</f>
        <v>1105126.25</v>
      </c>
      <c r="J107" s="6"/>
      <c r="K107" s="243"/>
      <c r="L107" s="243"/>
      <c r="M107" s="243"/>
    </row>
    <row r="108" spans="1:13" ht="15.75">
      <c r="A108" s="272">
        <v>20</v>
      </c>
      <c r="B108" s="217" t="s">
        <v>146</v>
      </c>
      <c r="C108" s="252"/>
      <c r="D108" s="252">
        <v>100000</v>
      </c>
      <c r="E108" s="251">
        <f t="shared" si="12"/>
        <v>105000</v>
      </c>
      <c r="F108" s="252">
        <f t="shared" si="12"/>
        <v>110250</v>
      </c>
      <c r="G108" s="252">
        <f t="shared" si="12"/>
        <v>115762.5</v>
      </c>
      <c r="H108" s="252">
        <f t="shared" si="12"/>
        <v>121550.625</v>
      </c>
      <c r="I108" s="31">
        <f>SUM(D108:H108)</f>
        <v>552563.125</v>
      </c>
      <c r="J108" s="6"/>
      <c r="K108" s="152"/>
      <c r="L108" s="152"/>
      <c r="M108" s="152"/>
    </row>
    <row r="109" spans="1:13" ht="15.75">
      <c r="A109" s="271">
        <v>25</v>
      </c>
      <c r="B109" s="217" t="s">
        <v>147</v>
      </c>
      <c r="C109" s="232"/>
      <c r="D109" s="248">
        <v>500000</v>
      </c>
      <c r="E109" s="251">
        <f t="shared" si="12"/>
        <v>525000</v>
      </c>
      <c r="F109" s="248">
        <f t="shared" si="12"/>
        <v>551250</v>
      </c>
      <c r="G109" s="248">
        <f t="shared" si="12"/>
        <v>578812.5</v>
      </c>
      <c r="H109" s="248">
        <f t="shared" si="12"/>
        <v>607753.125</v>
      </c>
      <c r="I109" s="31">
        <f>SUM(D109:H109)</f>
        <v>2762815.625</v>
      </c>
      <c r="J109" s="6"/>
      <c r="K109" s="236"/>
      <c r="L109" s="236"/>
      <c r="M109" s="236"/>
    </row>
    <row r="110" spans="1:13" ht="15.75">
      <c r="A110" s="249"/>
      <c r="B110" s="274" t="s">
        <v>562</v>
      </c>
      <c r="C110" s="253"/>
      <c r="D110" s="254">
        <f>SUM(D107:D109)</f>
        <v>800000</v>
      </c>
      <c r="E110" s="254">
        <f>SUM(E107:E109)</f>
        <v>840000</v>
      </c>
      <c r="F110" s="254">
        <f>SUM(F107:F109)</f>
        <v>882000</v>
      </c>
      <c r="G110" s="254">
        <f>SUM(G107:G109)</f>
        <v>926100</v>
      </c>
      <c r="H110" s="254">
        <f>SUM(H107:H109)</f>
        <v>972405</v>
      </c>
      <c r="I110" s="254">
        <f>SUM(D110:H110)</f>
        <v>4420505</v>
      </c>
      <c r="J110" s="31">
        <f>SUM(I107:I109)</f>
        <v>4420505</v>
      </c>
      <c r="K110" s="243"/>
      <c r="L110" s="243"/>
      <c r="M110" s="243"/>
    </row>
    <row r="111" spans="1:13" ht="15.75">
      <c r="A111" s="249"/>
      <c r="B111" s="249"/>
      <c r="C111" s="249"/>
      <c r="D111" s="251"/>
      <c r="E111" s="251"/>
      <c r="F111" s="251"/>
      <c r="G111" s="251"/>
      <c r="H111" s="251"/>
      <c r="I111" s="31"/>
      <c r="J111" s="6"/>
      <c r="K111" s="243"/>
      <c r="L111" s="243"/>
      <c r="M111" s="243"/>
    </row>
    <row r="112" spans="1:13" ht="15.75">
      <c r="A112" s="271">
        <v>6</v>
      </c>
      <c r="B112" s="274" t="s">
        <v>559</v>
      </c>
      <c r="C112" s="246">
        <f>350*12*6</f>
        <v>25200</v>
      </c>
      <c r="D112" s="251">
        <f>+C112</f>
        <v>25200</v>
      </c>
      <c r="E112" s="251">
        <f>+D112*1.05</f>
        <v>26460</v>
      </c>
      <c r="F112" s="251">
        <f>+E112*1.05</f>
        <v>27783</v>
      </c>
      <c r="G112" s="251">
        <f>+F112*1.05</f>
        <v>29172.15</v>
      </c>
      <c r="H112" s="251">
        <f>+G112*1.05</f>
        <v>30630.757500000003</v>
      </c>
      <c r="I112" s="31">
        <f>SUM(D112:H112)</f>
        <v>139245.9075</v>
      </c>
      <c r="J112" s="6"/>
      <c r="K112" s="243"/>
      <c r="L112" s="243"/>
      <c r="M112" s="236"/>
    </row>
    <row r="113" spans="1:13" ht="15.75">
      <c r="A113" s="271"/>
      <c r="B113" s="274" t="s">
        <v>563</v>
      </c>
      <c r="C113" s="255"/>
      <c r="D113" s="254">
        <f>+D112</f>
        <v>25200</v>
      </c>
      <c r="E113" s="254">
        <f>+E112</f>
        <v>26460</v>
      </c>
      <c r="F113" s="254">
        <f>+F112</f>
        <v>27783</v>
      </c>
      <c r="G113" s="254">
        <f>+G112</f>
        <v>29172.15</v>
      </c>
      <c r="H113" s="254">
        <f>+H112</f>
        <v>30630.757500000003</v>
      </c>
      <c r="I113" s="245">
        <f>SUM(D113:H113)</f>
        <v>139245.9075</v>
      </c>
      <c r="J113" s="31">
        <f>+I112</f>
        <v>139245.9075</v>
      </c>
      <c r="K113" s="243"/>
      <c r="L113" s="243"/>
      <c r="M113" s="236"/>
    </row>
    <row r="114" spans="1:13" ht="15.75">
      <c r="A114" s="217"/>
      <c r="B114" s="217"/>
      <c r="C114" s="247"/>
      <c r="D114" s="252"/>
      <c r="E114" s="252"/>
      <c r="F114" s="252"/>
      <c r="G114" s="252"/>
      <c r="H114" s="252"/>
      <c r="I114" s="31"/>
      <c r="J114" s="6"/>
      <c r="K114" s="152"/>
      <c r="L114" s="152"/>
      <c r="M114" s="152"/>
    </row>
    <row r="115" spans="1:13" ht="15.75">
      <c r="A115" s="232">
        <v>25</v>
      </c>
      <c r="B115" s="275" t="s">
        <v>541</v>
      </c>
      <c r="C115" s="246">
        <f>25*350*12</f>
        <v>105000</v>
      </c>
      <c r="D115" s="248">
        <f>+C115</f>
        <v>105000</v>
      </c>
      <c r="E115" s="248">
        <f>+D115*1.05</f>
        <v>110250</v>
      </c>
      <c r="F115" s="248">
        <f>+E115*1.05</f>
        <v>115762.5</v>
      </c>
      <c r="G115" s="248">
        <f>+F115*1.05</f>
        <v>121550.625</v>
      </c>
      <c r="H115" s="251">
        <f>+G115*1.05</f>
        <v>127628.15625</v>
      </c>
      <c r="I115" s="31">
        <f>SUM(D115:H115)</f>
        <v>580191.28125</v>
      </c>
      <c r="J115" s="6"/>
      <c r="K115" s="236"/>
      <c r="L115" s="236"/>
      <c r="M115" s="236"/>
    </row>
    <row r="116" spans="1:13" ht="15.75">
      <c r="A116" s="232"/>
      <c r="B116" s="275" t="s">
        <v>564</v>
      </c>
      <c r="C116" s="255"/>
      <c r="D116" s="256">
        <f>+D115</f>
        <v>105000</v>
      </c>
      <c r="E116" s="256">
        <f>+E115</f>
        <v>110250</v>
      </c>
      <c r="F116" s="256">
        <f>+F115</f>
        <v>115762.5</v>
      </c>
      <c r="G116" s="256">
        <f>+G115</f>
        <v>121550.625</v>
      </c>
      <c r="H116" s="256">
        <f>+H115</f>
        <v>127628.15625</v>
      </c>
      <c r="I116" s="245">
        <f>SUM(D116:H116)</f>
        <v>580191.28125</v>
      </c>
      <c r="J116" s="31">
        <f>+I115</f>
        <v>580191.28125</v>
      </c>
      <c r="K116" s="236"/>
      <c r="L116" s="236"/>
      <c r="M116" s="236"/>
    </row>
    <row r="117" spans="2:13" ht="15.75">
      <c r="B117" s="34"/>
      <c r="C117" s="257"/>
      <c r="D117" s="249"/>
      <c r="E117" s="249"/>
      <c r="F117" s="251" t="s">
        <v>80</v>
      </c>
      <c r="G117" s="251"/>
      <c r="H117" s="251"/>
      <c r="I117" s="251"/>
      <c r="J117" s="251"/>
      <c r="K117" s="243"/>
      <c r="L117" s="243"/>
      <c r="M117" s="243"/>
    </row>
    <row r="118" spans="1:13" ht="15.75">
      <c r="A118" s="204">
        <f>SUM(A98:A115)</f>
        <v>167</v>
      </c>
      <c r="B118" s="276" t="s">
        <v>560</v>
      </c>
      <c r="C118" s="258"/>
      <c r="D118" s="260">
        <f>+D104+D110+D113+D116</f>
        <v>1235200</v>
      </c>
      <c r="E118" s="260">
        <f>+E104+E110+E113+E116</f>
        <v>1296960</v>
      </c>
      <c r="F118" s="260">
        <f>+F104+F110+F113+F116</f>
        <v>1361808</v>
      </c>
      <c r="G118" s="260">
        <f>+G104+G110+G113+G116</f>
        <v>1429898.4</v>
      </c>
      <c r="H118" s="260">
        <f>+H104+H110+H113+H116</f>
        <v>1501393.32</v>
      </c>
      <c r="I118" s="259">
        <f>SUM(D118:H118)</f>
        <v>6825259.720000001</v>
      </c>
      <c r="J118" s="259">
        <f>+I104+I110+I113+I116</f>
        <v>6825259.72</v>
      </c>
      <c r="K118" s="353"/>
      <c r="L118" s="353"/>
      <c r="M118" s="352"/>
    </row>
    <row r="119" ht="15">
      <c r="D119" s="10"/>
    </row>
    <row r="120" spans="4:11" ht="15">
      <c r="D120" s="10"/>
      <c r="E120" s="177"/>
      <c r="F120" s="177"/>
      <c r="G120" s="177"/>
      <c r="H120" s="177"/>
      <c r="I120" s="177"/>
      <c r="J120" s="177"/>
      <c r="K120" s="177"/>
    </row>
    <row r="121" spans="1:10" ht="19.5" thickBot="1">
      <c r="A121" s="261">
        <f>+A52+A82+A88+A94+A118</f>
        <v>2477</v>
      </c>
      <c r="B121" s="14" t="s">
        <v>494</v>
      </c>
      <c r="C121" s="14"/>
      <c r="D121" s="263">
        <f>+D52+D82+D88+D94+D118</f>
        <v>6330680</v>
      </c>
      <c r="E121" s="263">
        <f>+E52+E82+E88+E94+E118</f>
        <v>6382224</v>
      </c>
      <c r="F121" s="263">
        <f>+F52+F82+F88+F94+F118</f>
        <v>2560878</v>
      </c>
      <c r="G121" s="263">
        <f>+G52+G82+G88+G94+G118</f>
        <v>2149764.3</v>
      </c>
      <c r="H121" s="263">
        <f>+H52+H82+H88+H94+H118</f>
        <v>2254552.5149999997</v>
      </c>
      <c r="I121" s="263">
        <f>SUM(D121:H121)</f>
        <v>19678098.815</v>
      </c>
      <c r="J121" s="262">
        <f>+I52+I82+I88+I94+I118</f>
        <v>19678098.815</v>
      </c>
    </row>
    <row r="122" spans="1:10" ht="19.5" thickTop="1">
      <c r="A122" s="261"/>
      <c r="B122" s="14"/>
      <c r="C122" s="14"/>
      <c r="D122" s="264"/>
      <c r="E122" s="264"/>
      <c r="F122" s="264"/>
      <c r="G122" s="264"/>
      <c r="H122" s="264"/>
      <c r="I122" s="264"/>
      <c r="J122" s="262"/>
    </row>
    <row r="123" spans="1:10" ht="18.75">
      <c r="A123" s="326"/>
      <c r="B123" s="325" t="s">
        <v>680</v>
      </c>
      <c r="C123" s="325"/>
      <c r="D123" s="327">
        <f>+A121</f>
        <v>2477</v>
      </c>
      <c r="E123" s="327">
        <f>+A121</f>
        <v>2477</v>
      </c>
      <c r="F123" s="327">
        <f>+A118+A88+A78+A79+A80+A52</f>
        <v>475</v>
      </c>
      <c r="G123" s="327">
        <f>+A118+A78+A79+A80+A52</f>
        <v>223</v>
      </c>
      <c r="H123" s="327">
        <f>+G123</f>
        <v>223</v>
      </c>
      <c r="I123" s="354"/>
      <c r="J123" s="355"/>
    </row>
    <row r="124" spans="1:10" ht="18.75">
      <c r="A124" s="261"/>
      <c r="B124" s="14"/>
      <c r="C124" s="14"/>
      <c r="D124" s="264"/>
      <c r="E124" s="264"/>
      <c r="F124" s="264"/>
      <c r="G124" s="264"/>
      <c r="H124" s="264"/>
      <c r="I124" s="264"/>
      <c r="J124" s="262"/>
    </row>
    <row r="125" spans="1:10" ht="18.75">
      <c r="A125" s="261"/>
      <c r="B125" s="14"/>
      <c r="C125" s="14"/>
      <c r="D125" s="264"/>
      <c r="E125" s="264"/>
      <c r="F125" s="264"/>
      <c r="G125" s="264"/>
      <c r="H125" s="264"/>
      <c r="I125" s="264"/>
      <c r="J125" s="262"/>
    </row>
    <row r="126" ht="15">
      <c r="D126" s="10"/>
    </row>
    <row r="127" spans="4:12" ht="15">
      <c r="D127" t="s">
        <v>77</v>
      </c>
      <c r="E127" t="s">
        <v>72</v>
      </c>
      <c r="F127" t="s">
        <v>78</v>
      </c>
      <c r="G127" t="s">
        <v>79</v>
      </c>
      <c r="H127" t="s">
        <v>79</v>
      </c>
      <c r="I127" t="s">
        <v>72</v>
      </c>
      <c r="J127" t="s">
        <v>78</v>
      </c>
      <c r="K127" t="s">
        <v>80</v>
      </c>
      <c r="L127" t="s">
        <v>72</v>
      </c>
    </row>
    <row r="128" spans="3:12" ht="15">
      <c r="C128" t="s">
        <v>72</v>
      </c>
      <c r="D128" t="s">
        <v>81</v>
      </c>
      <c r="E128" t="s">
        <v>81</v>
      </c>
      <c r="F128" t="s">
        <v>82</v>
      </c>
      <c r="G128" t="s">
        <v>83</v>
      </c>
      <c r="H128" t="s">
        <v>84</v>
      </c>
      <c r="I128" t="s">
        <v>81</v>
      </c>
      <c r="J128" t="s">
        <v>82</v>
      </c>
      <c r="K128" t="s">
        <v>72</v>
      </c>
      <c r="L128" t="s">
        <v>85</v>
      </c>
    </row>
    <row r="129" spans="3:12" ht="15">
      <c r="C129" t="s">
        <v>86</v>
      </c>
      <c r="D129" t="s">
        <v>87</v>
      </c>
      <c r="E129" t="s">
        <v>87</v>
      </c>
      <c r="F129" t="s">
        <v>88</v>
      </c>
      <c r="G129" t="s">
        <v>86</v>
      </c>
      <c r="H129" t="s">
        <v>87</v>
      </c>
      <c r="I129" t="s">
        <v>87</v>
      </c>
      <c r="J129" t="s">
        <v>88</v>
      </c>
      <c r="K129" t="s">
        <v>89</v>
      </c>
      <c r="L129" t="s">
        <v>87</v>
      </c>
    </row>
    <row r="130" ht="15">
      <c r="A130" s="54" t="s">
        <v>107</v>
      </c>
    </row>
    <row r="131" spans="1:12" ht="15">
      <c r="A131" s="15" t="s">
        <v>108</v>
      </c>
      <c r="B131" s="15"/>
      <c r="C131" s="15">
        <v>200</v>
      </c>
      <c r="D131" s="16">
        <v>8</v>
      </c>
      <c r="E131" s="16">
        <f>+C131*D131</f>
        <v>1600</v>
      </c>
      <c r="F131" s="16">
        <f>+E131*24</f>
        <v>38400</v>
      </c>
      <c r="G131" s="17">
        <v>2</v>
      </c>
      <c r="H131" s="16">
        <v>12</v>
      </c>
      <c r="I131" s="18">
        <f>+G131*H131</f>
        <v>24</v>
      </c>
      <c r="J131" s="16">
        <f>+I131*24</f>
        <v>576</v>
      </c>
      <c r="K131" s="19">
        <f>+C131+G131</f>
        <v>202</v>
      </c>
      <c r="L131" s="16">
        <f aca="true" t="shared" si="13" ref="L131:L146">+F131+J131</f>
        <v>38976</v>
      </c>
    </row>
    <row r="132" spans="1:12" ht="15">
      <c r="A132" s="20" t="s">
        <v>90</v>
      </c>
      <c r="B132" s="20"/>
      <c r="C132" s="20">
        <v>300</v>
      </c>
      <c r="D132" s="21">
        <v>7</v>
      </c>
      <c r="E132" s="21">
        <f>+C132*D132</f>
        <v>2100</v>
      </c>
      <c r="F132" s="21">
        <f>+E132*24</f>
        <v>50400</v>
      </c>
      <c r="G132" s="22">
        <v>2</v>
      </c>
      <c r="H132" s="21">
        <v>12</v>
      </c>
      <c r="I132" s="23">
        <f aca="true" t="shared" si="14" ref="I132:I146">+G132*H132</f>
        <v>24</v>
      </c>
      <c r="J132" s="21">
        <f aca="true" t="shared" si="15" ref="J132:J146">+I132*24</f>
        <v>576</v>
      </c>
      <c r="K132" s="24">
        <f aca="true" t="shared" si="16" ref="K132:K146">+C132+G132</f>
        <v>302</v>
      </c>
      <c r="L132" s="21">
        <f t="shared" si="13"/>
        <v>50976</v>
      </c>
    </row>
    <row r="133" spans="1:12" ht="15">
      <c r="A133" s="15" t="s">
        <v>91</v>
      </c>
      <c r="B133" s="15"/>
      <c r="C133" s="15">
        <v>150</v>
      </c>
      <c r="D133" s="16">
        <v>7</v>
      </c>
      <c r="E133" s="16">
        <f>+C133*D133</f>
        <v>1050</v>
      </c>
      <c r="F133" s="16">
        <f>+E133*24</f>
        <v>25200</v>
      </c>
      <c r="G133" s="17">
        <v>2</v>
      </c>
      <c r="H133" s="16">
        <v>12</v>
      </c>
      <c r="I133" s="18">
        <f t="shared" si="14"/>
        <v>24</v>
      </c>
      <c r="J133" s="16">
        <f t="shared" si="15"/>
        <v>576</v>
      </c>
      <c r="K133" s="19">
        <f t="shared" si="16"/>
        <v>152</v>
      </c>
      <c r="L133" s="16">
        <f t="shared" si="13"/>
        <v>25776</v>
      </c>
    </row>
    <row r="134" spans="1:12" ht="15">
      <c r="A134" s="20" t="s">
        <v>92</v>
      </c>
      <c r="B134" s="20"/>
      <c r="C134" s="20">
        <v>200</v>
      </c>
      <c r="D134" s="21">
        <v>7</v>
      </c>
      <c r="E134" s="21">
        <f aca="true" t="shared" si="17" ref="E134:E146">+C134*D134</f>
        <v>1400</v>
      </c>
      <c r="F134" s="21">
        <f aca="true" t="shared" si="18" ref="F134:F146">+E134*24</f>
        <v>33600</v>
      </c>
      <c r="G134" s="22">
        <v>2</v>
      </c>
      <c r="H134" s="21">
        <v>12</v>
      </c>
      <c r="I134" s="23">
        <f t="shared" si="14"/>
        <v>24</v>
      </c>
      <c r="J134" s="21">
        <f t="shared" si="15"/>
        <v>576</v>
      </c>
      <c r="K134" s="24">
        <f t="shared" si="16"/>
        <v>202</v>
      </c>
      <c r="L134" s="21">
        <f t="shared" si="13"/>
        <v>34176</v>
      </c>
    </row>
    <row r="135" spans="1:12" ht="15">
      <c r="A135" s="15" t="s">
        <v>93</v>
      </c>
      <c r="B135" s="15"/>
      <c r="C135" s="15">
        <v>50</v>
      </c>
      <c r="D135" s="16">
        <v>7</v>
      </c>
      <c r="E135" s="16">
        <f t="shared" si="17"/>
        <v>350</v>
      </c>
      <c r="F135" s="16">
        <f t="shared" si="18"/>
        <v>8400</v>
      </c>
      <c r="G135" s="17">
        <v>2</v>
      </c>
      <c r="H135" s="16">
        <v>12</v>
      </c>
      <c r="I135" s="18">
        <f t="shared" si="14"/>
        <v>24</v>
      </c>
      <c r="J135" s="16">
        <f t="shared" si="15"/>
        <v>576</v>
      </c>
      <c r="K135" s="19">
        <f t="shared" si="16"/>
        <v>52</v>
      </c>
      <c r="L135" s="16">
        <f t="shared" si="13"/>
        <v>8976</v>
      </c>
    </row>
    <row r="136" spans="1:12" ht="15">
      <c r="A136" s="20" t="s">
        <v>94</v>
      </c>
      <c r="B136" s="20"/>
      <c r="C136" s="20">
        <v>50</v>
      </c>
      <c r="D136" s="21">
        <v>7</v>
      </c>
      <c r="E136" s="21">
        <f t="shared" si="17"/>
        <v>350</v>
      </c>
      <c r="F136" s="21">
        <f t="shared" si="18"/>
        <v>8400</v>
      </c>
      <c r="G136" s="22">
        <v>2</v>
      </c>
      <c r="H136" s="21">
        <v>12</v>
      </c>
      <c r="I136" s="23">
        <f t="shared" si="14"/>
        <v>24</v>
      </c>
      <c r="J136" s="21">
        <f t="shared" si="15"/>
        <v>576</v>
      </c>
      <c r="K136" s="24">
        <f t="shared" si="16"/>
        <v>52</v>
      </c>
      <c r="L136" s="21">
        <f t="shared" si="13"/>
        <v>8976</v>
      </c>
    </row>
    <row r="137" spans="1:12" ht="15">
      <c r="A137" s="15" t="s">
        <v>95</v>
      </c>
      <c r="B137" s="15"/>
      <c r="C137" s="15">
        <v>50</v>
      </c>
      <c r="D137" s="16">
        <v>7</v>
      </c>
      <c r="E137" s="16">
        <f t="shared" si="17"/>
        <v>350</v>
      </c>
      <c r="F137" s="16">
        <f t="shared" si="18"/>
        <v>8400</v>
      </c>
      <c r="G137" s="17">
        <v>2</v>
      </c>
      <c r="H137" s="16">
        <v>12</v>
      </c>
      <c r="I137" s="18">
        <f t="shared" si="14"/>
        <v>24</v>
      </c>
      <c r="J137" s="16">
        <f t="shared" si="15"/>
        <v>576</v>
      </c>
      <c r="K137" s="19">
        <f t="shared" si="16"/>
        <v>52</v>
      </c>
      <c r="L137" s="16">
        <f t="shared" si="13"/>
        <v>8976</v>
      </c>
    </row>
    <row r="138" spans="1:12" ht="15">
      <c r="A138" s="20" t="s">
        <v>96</v>
      </c>
      <c r="B138" s="20"/>
      <c r="C138" s="20">
        <v>50</v>
      </c>
      <c r="D138" s="21">
        <v>8</v>
      </c>
      <c r="E138" s="21">
        <f t="shared" si="17"/>
        <v>400</v>
      </c>
      <c r="F138" s="21">
        <f t="shared" si="18"/>
        <v>9600</v>
      </c>
      <c r="G138" s="22">
        <v>2</v>
      </c>
      <c r="H138" s="21">
        <v>15</v>
      </c>
      <c r="I138" s="23">
        <f t="shared" si="14"/>
        <v>30</v>
      </c>
      <c r="J138" s="21">
        <f t="shared" si="15"/>
        <v>720</v>
      </c>
      <c r="K138" s="24">
        <f t="shared" si="16"/>
        <v>52</v>
      </c>
      <c r="L138" s="21">
        <f t="shared" si="13"/>
        <v>10320</v>
      </c>
    </row>
    <row r="139" spans="1:12" ht="15">
      <c r="A139" s="15" t="s">
        <v>97</v>
      </c>
      <c r="B139" s="15"/>
      <c r="C139" s="15">
        <v>50</v>
      </c>
      <c r="D139" s="16">
        <v>8</v>
      </c>
      <c r="E139" s="16">
        <f t="shared" si="17"/>
        <v>400</v>
      </c>
      <c r="F139" s="16">
        <f t="shared" si="18"/>
        <v>9600</v>
      </c>
      <c r="G139" s="17">
        <v>2</v>
      </c>
      <c r="H139" s="16">
        <v>15</v>
      </c>
      <c r="I139" s="18">
        <f t="shared" si="14"/>
        <v>30</v>
      </c>
      <c r="J139" s="16">
        <f t="shared" si="15"/>
        <v>720</v>
      </c>
      <c r="K139" s="19">
        <f t="shared" si="16"/>
        <v>52</v>
      </c>
      <c r="L139" s="16">
        <f t="shared" si="13"/>
        <v>10320</v>
      </c>
    </row>
    <row r="140" spans="1:12" ht="15">
      <c r="A140" s="20" t="s">
        <v>98</v>
      </c>
      <c r="B140" s="20"/>
      <c r="C140" s="20">
        <v>50</v>
      </c>
      <c r="D140" s="21">
        <v>7</v>
      </c>
      <c r="E140" s="21">
        <f t="shared" si="17"/>
        <v>350</v>
      </c>
      <c r="F140" s="21">
        <f t="shared" si="18"/>
        <v>8400</v>
      </c>
      <c r="G140" s="22">
        <v>2</v>
      </c>
      <c r="H140" s="21">
        <v>12</v>
      </c>
      <c r="I140" s="23">
        <f t="shared" si="14"/>
        <v>24</v>
      </c>
      <c r="J140" s="21">
        <f t="shared" si="15"/>
        <v>576</v>
      </c>
      <c r="K140" s="24">
        <f t="shared" si="16"/>
        <v>52</v>
      </c>
      <c r="L140" s="21">
        <f t="shared" si="13"/>
        <v>8976</v>
      </c>
    </row>
    <row r="141" spans="1:12" ht="15">
      <c r="A141" s="15" t="s">
        <v>99</v>
      </c>
      <c r="B141" s="15"/>
      <c r="C141" s="15">
        <v>100</v>
      </c>
      <c r="D141" s="16">
        <v>7</v>
      </c>
      <c r="E141" s="16">
        <f t="shared" si="17"/>
        <v>700</v>
      </c>
      <c r="F141" s="16">
        <f t="shared" si="18"/>
        <v>16800</v>
      </c>
      <c r="G141" s="17">
        <v>2</v>
      </c>
      <c r="H141" s="16">
        <v>12</v>
      </c>
      <c r="I141" s="18">
        <f t="shared" si="14"/>
        <v>24</v>
      </c>
      <c r="J141" s="16">
        <f t="shared" si="15"/>
        <v>576</v>
      </c>
      <c r="K141" s="19">
        <f t="shared" si="16"/>
        <v>102</v>
      </c>
      <c r="L141" s="16">
        <f t="shared" si="13"/>
        <v>17376</v>
      </c>
    </row>
    <row r="142" spans="1:12" ht="15">
      <c r="A142" s="20" t="s">
        <v>100</v>
      </c>
      <c r="B142" s="20"/>
      <c r="C142" s="20">
        <v>100</v>
      </c>
      <c r="D142" s="21">
        <v>7</v>
      </c>
      <c r="E142" s="21">
        <f t="shared" si="17"/>
        <v>700</v>
      </c>
      <c r="F142" s="21">
        <f t="shared" si="18"/>
        <v>16800</v>
      </c>
      <c r="G142" s="22">
        <v>2</v>
      </c>
      <c r="H142" s="21">
        <v>12</v>
      </c>
      <c r="I142" s="23">
        <f t="shared" si="14"/>
        <v>24</v>
      </c>
      <c r="J142" s="21">
        <f t="shared" si="15"/>
        <v>576</v>
      </c>
      <c r="K142" s="24">
        <f t="shared" si="16"/>
        <v>102</v>
      </c>
      <c r="L142" s="21">
        <f t="shared" si="13"/>
        <v>17376</v>
      </c>
    </row>
    <row r="143" spans="1:12" ht="15">
      <c r="A143" s="15" t="s">
        <v>101</v>
      </c>
      <c r="B143" s="15"/>
      <c r="C143" s="15">
        <v>100</v>
      </c>
      <c r="D143" s="16">
        <v>7</v>
      </c>
      <c r="E143" s="16">
        <f t="shared" si="17"/>
        <v>700</v>
      </c>
      <c r="F143" s="16">
        <f t="shared" si="18"/>
        <v>16800</v>
      </c>
      <c r="G143" s="17">
        <v>2</v>
      </c>
      <c r="H143" s="16">
        <v>12</v>
      </c>
      <c r="I143" s="18">
        <f t="shared" si="14"/>
        <v>24</v>
      </c>
      <c r="J143" s="16">
        <f t="shared" si="15"/>
        <v>576</v>
      </c>
      <c r="K143" s="19">
        <f t="shared" si="16"/>
        <v>102</v>
      </c>
      <c r="L143" s="16">
        <f t="shared" si="13"/>
        <v>17376</v>
      </c>
    </row>
    <row r="144" spans="1:12" ht="15">
      <c r="A144" s="20" t="s">
        <v>102</v>
      </c>
      <c r="B144" s="20"/>
      <c r="C144" s="20">
        <v>100</v>
      </c>
      <c r="D144" s="21">
        <v>7</v>
      </c>
      <c r="E144" s="21">
        <f t="shared" si="17"/>
        <v>700</v>
      </c>
      <c r="F144" s="21">
        <f t="shared" si="18"/>
        <v>16800</v>
      </c>
      <c r="G144" s="22">
        <v>2</v>
      </c>
      <c r="H144" s="21">
        <v>12</v>
      </c>
      <c r="I144" s="23">
        <f t="shared" si="14"/>
        <v>24</v>
      </c>
      <c r="J144" s="21">
        <f t="shared" si="15"/>
        <v>576</v>
      </c>
      <c r="K144" s="24">
        <f t="shared" si="16"/>
        <v>102</v>
      </c>
      <c r="L144" s="21">
        <f t="shared" si="13"/>
        <v>17376</v>
      </c>
    </row>
    <row r="145" spans="1:12" ht="15">
      <c r="A145" s="20" t="s">
        <v>103</v>
      </c>
      <c r="B145" s="20"/>
      <c r="C145" s="20">
        <v>100</v>
      </c>
      <c r="D145" s="21">
        <v>7</v>
      </c>
      <c r="E145" s="21">
        <f t="shared" si="17"/>
        <v>700</v>
      </c>
      <c r="F145" s="21">
        <f t="shared" si="18"/>
        <v>16800</v>
      </c>
      <c r="G145" s="22">
        <v>2</v>
      </c>
      <c r="H145" s="21">
        <v>12</v>
      </c>
      <c r="I145" s="23">
        <f t="shared" si="14"/>
        <v>24</v>
      </c>
      <c r="J145" s="21">
        <f t="shared" si="15"/>
        <v>576</v>
      </c>
      <c r="K145" s="24">
        <f t="shared" si="16"/>
        <v>102</v>
      </c>
      <c r="L145" s="21">
        <f t="shared" si="13"/>
        <v>17376</v>
      </c>
    </row>
    <row r="146" spans="1:12" ht="15">
      <c r="A146" s="15" t="s">
        <v>104</v>
      </c>
      <c r="B146" s="15"/>
      <c r="C146" s="15">
        <v>100</v>
      </c>
      <c r="D146" s="16">
        <v>7</v>
      </c>
      <c r="E146" s="16">
        <f t="shared" si="17"/>
        <v>700</v>
      </c>
      <c r="F146" s="16">
        <f t="shared" si="18"/>
        <v>16800</v>
      </c>
      <c r="G146" s="17">
        <v>2</v>
      </c>
      <c r="H146" s="16">
        <v>12</v>
      </c>
      <c r="I146" s="18">
        <f t="shared" si="14"/>
        <v>24</v>
      </c>
      <c r="J146" s="16">
        <f t="shared" si="15"/>
        <v>576</v>
      </c>
      <c r="K146" s="19">
        <f t="shared" si="16"/>
        <v>102</v>
      </c>
      <c r="L146" s="16">
        <f t="shared" si="13"/>
        <v>17376</v>
      </c>
    </row>
    <row r="147" spans="1:12" ht="15">
      <c r="A147" s="20" t="s">
        <v>105</v>
      </c>
      <c r="B147" s="20"/>
      <c r="C147" s="20"/>
      <c r="D147" s="21"/>
      <c r="E147" s="21"/>
      <c r="F147" s="21"/>
      <c r="G147" s="21"/>
      <c r="H147" s="22"/>
      <c r="I147" s="20"/>
      <c r="J147" s="20"/>
      <c r="K147" s="24"/>
      <c r="L147" s="20"/>
    </row>
    <row r="148" spans="1:12" ht="15">
      <c r="A148" s="17"/>
      <c r="B148" s="17"/>
      <c r="C148" s="15"/>
      <c r="D148" s="16"/>
      <c r="E148" s="16"/>
      <c r="F148" s="16"/>
      <c r="G148" s="16"/>
      <c r="H148" s="17"/>
      <c r="I148" s="15"/>
      <c r="J148" s="15"/>
      <c r="K148" s="19"/>
      <c r="L148" s="15"/>
    </row>
    <row r="149" spans="1:12" ht="15">
      <c r="A149" s="25" t="s">
        <v>106</v>
      </c>
      <c r="B149" s="25"/>
      <c r="C149" s="26">
        <f>SUM(C131:C146)</f>
        <v>1750</v>
      </c>
      <c r="D149" s="27">
        <f>SUM(D131:D146)</f>
        <v>115</v>
      </c>
      <c r="E149" s="27">
        <f>SUM(E131:E146)</f>
        <v>12550</v>
      </c>
      <c r="F149" s="27">
        <f>SUM(F131:F146)</f>
        <v>301200</v>
      </c>
      <c r="G149" s="27">
        <f aca="true" t="shared" si="19" ref="G149:L149">SUM(G131:G146)</f>
        <v>32</v>
      </c>
      <c r="H149" s="27">
        <f t="shared" si="19"/>
        <v>198</v>
      </c>
      <c r="I149" s="27">
        <f t="shared" si="19"/>
        <v>396</v>
      </c>
      <c r="J149" s="27">
        <f t="shared" si="19"/>
        <v>9504</v>
      </c>
      <c r="K149" s="28">
        <f t="shared" si="19"/>
        <v>1782</v>
      </c>
      <c r="L149" s="27">
        <f t="shared" si="19"/>
        <v>310704</v>
      </c>
    </row>
    <row r="150" spans="11:12" ht="15">
      <c r="K150" s="32" t="s">
        <v>111</v>
      </c>
      <c r="L150" s="27">
        <f>+L149*12</f>
        <v>3728448</v>
      </c>
    </row>
    <row r="151" ht="15">
      <c r="A151" s="2" t="s">
        <v>113</v>
      </c>
    </row>
    <row r="152" spans="1:12" ht="15">
      <c r="A152" s="20" t="s">
        <v>112</v>
      </c>
      <c r="B152" s="20"/>
      <c r="C152" s="20">
        <v>250</v>
      </c>
      <c r="D152" s="21">
        <v>7</v>
      </c>
      <c r="E152" s="21">
        <f>+C152*D152</f>
        <v>1750</v>
      </c>
      <c r="F152" s="21">
        <f>+E152*24</f>
        <v>42000</v>
      </c>
      <c r="G152" s="33">
        <v>2</v>
      </c>
      <c r="H152" s="21">
        <v>12</v>
      </c>
      <c r="I152" s="21">
        <f>+H152*G152</f>
        <v>24</v>
      </c>
      <c r="J152" s="21">
        <f>+I152*24</f>
        <v>576</v>
      </c>
      <c r="K152" s="24">
        <f>+G152+C152</f>
        <v>252</v>
      </c>
      <c r="L152" s="21">
        <f>+F152+J152</f>
        <v>42576</v>
      </c>
    </row>
    <row r="153" spans="1:12" ht="15">
      <c r="A153" s="20" t="s">
        <v>590</v>
      </c>
      <c r="B153" s="20"/>
      <c r="C153" s="20">
        <v>200</v>
      </c>
      <c r="D153" s="21">
        <v>7</v>
      </c>
      <c r="E153" s="21">
        <f>+C153*D153</f>
        <v>1400</v>
      </c>
      <c r="F153" s="21">
        <f>+E153*24</f>
        <v>33600</v>
      </c>
      <c r="G153" s="33">
        <v>1</v>
      </c>
      <c r="H153" s="21">
        <v>12</v>
      </c>
      <c r="I153" s="21">
        <f>+H153*G153</f>
        <v>12</v>
      </c>
      <c r="J153" s="21">
        <f>+I153*24</f>
        <v>288</v>
      </c>
      <c r="K153" s="24">
        <f>+G153+C153</f>
        <v>201</v>
      </c>
      <c r="L153" s="21">
        <f>+F153+J153</f>
        <v>33888</v>
      </c>
    </row>
    <row r="154" spans="1:12" ht="15">
      <c r="A154" s="34"/>
      <c r="B154" s="34"/>
      <c r="C154" s="34"/>
      <c r="D154" s="35"/>
      <c r="E154" s="18"/>
      <c r="F154" s="18"/>
      <c r="G154" s="36"/>
      <c r="H154" s="18"/>
      <c r="I154" s="18"/>
      <c r="J154" s="18"/>
      <c r="K154" s="17"/>
      <c r="L154" s="17"/>
    </row>
    <row r="155" spans="1:13" ht="15">
      <c r="A155" s="37" t="s">
        <v>556</v>
      </c>
      <c r="B155" s="38"/>
      <c r="C155" s="39">
        <f>SUM(C152:C153)</f>
        <v>450</v>
      </c>
      <c r="D155" s="350">
        <f>SUM(D152:D153)</f>
        <v>14</v>
      </c>
      <c r="E155" s="350">
        <f aca="true" t="shared" si="20" ref="E155:L155">SUM(E152:E153)</f>
        <v>3150</v>
      </c>
      <c r="F155" s="350">
        <f t="shared" si="20"/>
        <v>75600</v>
      </c>
      <c r="G155" s="39">
        <f t="shared" si="20"/>
        <v>3</v>
      </c>
      <c r="H155" s="350">
        <f t="shared" si="20"/>
        <v>24</v>
      </c>
      <c r="I155" s="350">
        <f t="shared" si="20"/>
        <v>36</v>
      </c>
      <c r="J155" s="350">
        <f t="shared" si="20"/>
        <v>864</v>
      </c>
      <c r="K155" s="39">
        <f t="shared" si="20"/>
        <v>453</v>
      </c>
      <c r="L155" s="350">
        <f t="shared" si="20"/>
        <v>76464</v>
      </c>
      <c r="M155" s="351"/>
    </row>
  </sheetData>
  <sheetProtection/>
  <printOptions/>
  <pageMargins left="0.07" right="0.5" top="0.27" bottom="0.25" header="0.3" footer="0.3"/>
  <pageSetup horizontalDpi="600" verticalDpi="600" orientation="landscape" scale="41" r:id="rId1"/>
  <rowBreaks count="1" manualBreakCount="1">
    <brk id="83" max="255" man="1"/>
  </rowBreaks>
</worksheet>
</file>

<file path=xl/worksheets/sheet10.xml><?xml version="1.0" encoding="utf-8"?>
<worksheet xmlns="http://schemas.openxmlformats.org/spreadsheetml/2006/main" xmlns:r="http://schemas.openxmlformats.org/officeDocument/2006/relationships">
  <dimension ref="A1:I22"/>
  <sheetViews>
    <sheetView zoomScalePageLayoutView="0" workbookViewId="0" topLeftCell="A1">
      <selection activeCell="A1" sqref="A1:H23"/>
    </sheetView>
  </sheetViews>
  <sheetFormatPr defaultColWidth="9.140625" defaultRowHeight="15"/>
  <cols>
    <col min="1" max="1" width="31.57421875" style="0" customWidth="1"/>
    <col min="2" max="6" width="18.57421875" style="0" customWidth="1"/>
    <col min="7" max="7" width="15.7109375" style="0" customWidth="1"/>
    <col min="8" max="8" width="16.28125" style="0" customWidth="1"/>
    <col min="9" max="9" width="17.140625" style="0" customWidth="1"/>
  </cols>
  <sheetData>
    <row r="1" ht="20.25">
      <c r="A1" s="1" t="s">
        <v>0</v>
      </c>
    </row>
    <row r="2" ht="20.25">
      <c r="A2" s="1" t="s">
        <v>3</v>
      </c>
    </row>
    <row r="3" ht="20.25">
      <c r="A3" s="1" t="s">
        <v>1</v>
      </c>
    </row>
    <row r="4" ht="20.25">
      <c r="A4" s="1" t="s">
        <v>565</v>
      </c>
    </row>
    <row r="5" ht="20.25">
      <c r="A5" s="1" t="s">
        <v>566</v>
      </c>
    </row>
    <row r="7" spans="2:7" ht="20.25">
      <c r="B7" s="170" t="s">
        <v>664</v>
      </c>
      <c r="C7" s="170"/>
      <c r="D7" s="277"/>
      <c r="E7" s="277"/>
      <c r="F7" s="277"/>
      <c r="G7" s="64"/>
    </row>
    <row r="11" spans="2:8" ht="15">
      <c r="B11" s="32" t="s">
        <v>666</v>
      </c>
      <c r="C11" s="32" t="s">
        <v>670</v>
      </c>
      <c r="D11" s="32" t="s">
        <v>671</v>
      </c>
      <c r="E11" s="32" t="s">
        <v>672</v>
      </c>
      <c r="F11" s="32" t="s">
        <v>673</v>
      </c>
      <c r="G11" s="143" t="s">
        <v>665</v>
      </c>
      <c r="H11" s="32" t="s">
        <v>72</v>
      </c>
    </row>
    <row r="13" spans="1:8" ht="15">
      <c r="A13" t="s">
        <v>667</v>
      </c>
      <c r="B13" s="10">
        <f>+'Multifamily Homes Budget.Other'!B339</f>
        <v>1449999.9965289258</v>
      </c>
      <c r="C13" s="10"/>
      <c r="D13" s="10">
        <f>+'Multifamily Homes Budget.Other'!B336</f>
        <v>1449999.9965289258</v>
      </c>
      <c r="E13" s="10"/>
      <c r="F13" s="10">
        <f>+'Multifamily Homes Budget.Other'!B337</f>
        <v>1449999.9965289258</v>
      </c>
      <c r="G13" s="322">
        <f>+'Multifamily Homes Budget.Other'!B338</f>
        <v>1449999.9965289258</v>
      </c>
      <c r="H13" s="10">
        <f>SUM(B13:G13)+0.01</f>
        <v>5799999.996115703</v>
      </c>
    </row>
    <row r="14" spans="1:8" ht="15">
      <c r="A14" t="s">
        <v>668</v>
      </c>
      <c r="B14" s="10">
        <f>+'Multifamily Homes Budget.Other'!B340</f>
        <v>700000</v>
      </c>
      <c r="C14" s="10"/>
      <c r="D14" s="10"/>
      <c r="E14" s="10"/>
      <c r="F14" s="10"/>
      <c r="G14" s="322"/>
      <c r="H14" s="10">
        <f>SUM(B14:G14)</f>
        <v>700000</v>
      </c>
    </row>
    <row r="15" spans="1:8" ht="15">
      <c r="A15" t="s">
        <v>669</v>
      </c>
      <c r="B15" s="10">
        <v>500000</v>
      </c>
      <c r="C15" s="10"/>
      <c r="D15" s="10"/>
      <c r="E15" s="10"/>
      <c r="F15" s="10"/>
      <c r="G15" s="322"/>
      <c r="H15" s="10">
        <f>SUM(B15:G15)</f>
        <v>500000</v>
      </c>
    </row>
    <row r="16" spans="1:8" ht="15">
      <c r="A16" t="s">
        <v>662</v>
      </c>
      <c r="B16" s="10"/>
      <c r="C16" s="10"/>
      <c r="D16" s="10"/>
      <c r="E16" s="10"/>
      <c r="F16" s="10"/>
      <c r="G16" s="10">
        <v>50000</v>
      </c>
      <c r="H16" s="10">
        <f>SUM(B16:G16)</f>
        <v>50000</v>
      </c>
    </row>
    <row r="17" spans="1:8" ht="15">
      <c r="A17" t="s">
        <v>663</v>
      </c>
      <c r="B17" s="10"/>
      <c r="C17" s="10"/>
      <c r="D17" s="10"/>
      <c r="E17" s="10"/>
      <c r="F17" s="10"/>
      <c r="G17" s="10">
        <v>65000</v>
      </c>
      <c r="H17" s="10">
        <f>SUM(B17:G17)</f>
        <v>65000</v>
      </c>
    </row>
    <row r="18" spans="1:8" ht="15">
      <c r="A18" t="s">
        <v>674</v>
      </c>
      <c r="B18" s="10"/>
      <c r="C18" s="10">
        <f>230000000-B20-D20-F20-G20-0.01</f>
        <v>222885000.00388432</v>
      </c>
      <c r="D18" s="10"/>
      <c r="E18" s="10"/>
      <c r="F18" s="10"/>
      <c r="G18" s="10"/>
      <c r="H18" s="10">
        <f>SUM(B18:G18)</f>
        <v>222885000.00388432</v>
      </c>
    </row>
    <row r="19" spans="2:8" ht="15">
      <c r="B19" s="10"/>
      <c r="C19" s="10"/>
      <c r="D19" s="10"/>
      <c r="E19" s="10"/>
      <c r="F19" s="10"/>
      <c r="G19" s="10"/>
      <c r="H19" s="10"/>
    </row>
    <row r="20" spans="1:9" ht="15">
      <c r="A20" t="s">
        <v>72</v>
      </c>
      <c r="B20" s="10">
        <f aca="true" t="shared" si="0" ref="B20:G20">SUM(B13:B18)</f>
        <v>2649999.996528926</v>
      </c>
      <c r="C20" s="10">
        <f t="shared" si="0"/>
        <v>222885000.00388432</v>
      </c>
      <c r="D20" s="10">
        <f t="shared" si="0"/>
        <v>1449999.9965289258</v>
      </c>
      <c r="E20" s="10">
        <f t="shared" si="0"/>
        <v>0</v>
      </c>
      <c r="F20" s="10">
        <f t="shared" si="0"/>
        <v>1449999.9965289258</v>
      </c>
      <c r="G20" s="10">
        <f t="shared" si="0"/>
        <v>1564999.9965289258</v>
      </c>
      <c r="H20" s="10">
        <f>SUM(B20:G20)+0.01</f>
        <v>230000000</v>
      </c>
      <c r="I20" s="10">
        <f>SUM(H13:H18)</f>
        <v>230000000.00000003</v>
      </c>
    </row>
    <row r="21" spans="1:8" ht="15">
      <c r="A21" s="323" t="s">
        <v>675</v>
      </c>
      <c r="B21" s="324">
        <f>+B20/H20</f>
        <v>0.011521739115343156</v>
      </c>
      <c r="C21" s="324">
        <f>+C20/H20</f>
        <v>0.9690652174081926</v>
      </c>
      <c r="D21" s="324">
        <f>+D20/H20</f>
        <v>0.00630434781099533</v>
      </c>
      <c r="E21" s="324"/>
      <c r="F21" s="324">
        <f>+F20/H20</f>
        <v>0.00630434781099533</v>
      </c>
      <c r="G21" s="324">
        <f>+G20/H20</f>
        <v>0.00680434781099533</v>
      </c>
      <c r="H21" s="324">
        <f>SUM(B21:G21)</f>
        <v>0.9999999999565218</v>
      </c>
    </row>
    <row r="22" ht="15">
      <c r="G22" s="308" t="s">
        <v>80</v>
      </c>
    </row>
  </sheetData>
  <sheetProtection/>
  <printOptions/>
  <pageMargins left="0.18" right="0.5" top="0.75" bottom="0.75" header="0.3" footer="0.3"/>
  <pageSetup horizontalDpi="600" verticalDpi="600" orientation="landscape" scale="80" r:id="rId1"/>
</worksheet>
</file>

<file path=xl/worksheets/sheet1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9" sqref="A19"/>
    </sheetView>
  </sheetViews>
  <sheetFormatPr defaultColWidth="9.140625" defaultRowHeight="15"/>
  <cols>
    <col min="1" max="1" width="39.28125" style="0" customWidth="1"/>
    <col min="2" max="2" width="10.7109375" style="0" customWidth="1"/>
    <col min="3" max="3" width="11.00390625" style="0" customWidth="1"/>
    <col min="5" max="5" width="9.8515625" style="0" customWidth="1"/>
    <col min="7" max="7" width="11.140625" style="0" customWidth="1"/>
    <col min="9" max="9" width="10.140625" style="0" customWidth="1"/>
  </cols>
  <sheetData>
    <row r="1" ht="20.25">
      <c r="A1" s="1" t="s">
        <v>0</v>
      </c>
    </row>
    <row r="2" ht="20.25">
      <c r="A2" s="1" t="s">
        <v>3</v>
      </c>
    </row>
    <row r="3" ht="20.25">
      <c r="A3" s="1" t="s">
        <v>1</v>
      </c>
    </row>
    <row r="4" ht="20.25">
      <c r="A4" s="1" t="s">
        <v>565</v>
      </c>
    </row>
    <row r="5" ht="20.25">
      <c r="A5" s="1" t="s">
        <v>566</v>
      </c>
    </row>
    <row r="7" spans="2:5" ht="20.25">
      <c r="B7" s="170" t="s">
        <v>695</v>
      </c>
      <c r="C7" s="277"/>
      <c r="D7" s="277"/>
      <c r="E7" s="277"/>
    </row>
    <row r="9" spans="1:12" ht="15.75">
      <c r="A9" s="6" t="s">
        <v>696</v>
      </c>
      <c r="B9" s="6"/>
      <c r="C9" s="6"/>
      <c r="D9" s="6"/>
      <c r="E9" s="6"/>
      <c r="F9" s="6"/>
      <c r="G9" s="6"/>
      <c r="H9" s="6"/>
      <c r="I9" s="6"/>
      <c r="J9" s="6"/>
      <c r="K9" s="6"/>
      <c r="L9" s="6"/>
    </row>
    <row r="10" spans="1:12" ht="15.75">
      <c r="A10" s="6" t="s">
        <v>707</v>
      </c>
      <c r="B10" s="6"/>
      <c r="C10" s="6"/>
      <c r="D10" s="6"/>
      <c r="E10" s="6"/>
      <c r="F10" s="6"/>
      <c r="G10" s="6"/>
      <c r="H10" s="6"/>
      <c r="I10" s="6"/>
      <c r="J10" s="6"/>
      <c r="K10" s="6"/>
      <c r="L10" s="6"/>
    </row>
    <row r="11" spans="1:12" ht="15.75">
      <c r="A11" s="6"/>
      <c r="B11" s="6"/>
      <c r="C11" s="6"/>
      <c r="D11" s="6"/>
      <c r="E11" s="6"/>
      <c r="F11" s="6"/>
      <c r="G11" s="6"/>
      <c r="H11" s="6"/>
      <c r="I11" s="6"/>
      <c r="J11" s="6"/>
      <c r="K11" s="6"/>
      <c r="L11" s="6"/>
    </row>
    <row r="12" spans="1:12" ht="15.75">
      <c r="A12" s="6"/>
      <c r="B12" s="6"/>
      <c r="C12" s="235" t="s">
        <v>697</v>
      </c>
      <c r="D12" s="235"/>
      <c r="E12" s="235" t="s">
        <v>698</v>
      </c>
      <c r="F12" s="235"/>
      <c r="G12" s="235" t="s">
        <v>699</v>
      </c>
      <c r="H12" s="235"/>
      <c r="I12" s="235" t="s">
        <v>72</v>
      </c>
      <c r="J12" s="6"/>
      <c r="K12" s="6"/>
      <c r="L12" s="6"/>
    </row>
    <row r="13" spans="1:12" ht="15.75">
      <c r="A13" s="6"/>
      <c r="B13" s="6"/>
      <c r="C13" s="6"/>
      <c r="D13" s="6"/>
      <c r="E13" s="6"/>
      <c r="F13" s="6"/>
      <c r="G13" s="6"/>
      <c r="H13" s="6"/>
      <c r="I13" s="6"/>
      <c r="J13" s="6"/>
      <c r="K13" s="6"/>
      <c r="L13" s="6"/>
    </row>
    <row r="14" spans="1:12" ht="15.75">
      <c r="A14" s="6" t="s">
        <v>708</v>
      </c>
      <c r="B14" s="6"/>
      <c r="C14" s="6">
        <v>12</v>
      </c>
      <c r="D14" s="6"/>
      <c r="E14" s="6">
        <v>12</v>
      </c>
      <c r="F14" s="6"/>
      <c r="G14" s="6">
        <v>12</v>
      </c>
      <c r="H14" s="6"/>
      <c r="I14" s="6">
        <f>SUM(C14:G14)</f>
        <v>36</v>
      </c>
      <c r="J14" s="6"/>
      <c r="K14" s="6"/>
      <c r="L14" s="6"/>
    </row>
    <row r="15" spans="1:12" ht="15.75">
      <c r="A15" s="6"/>
      <c r="B15" s="6"/>
      <c r="C15" s="6"/>
      <c r="D15" s="6"/>
      <c r="E15" s="6"/>
      <c r="F15" s="6"/>
      <c r="G15" s="6"/>
      <c r="H15" s="6"/>
      <c r="I15" s="6"/>
      <c r="J15" s="6"/>
      <c r="K15" s="6"/>
      <c r="L15" s="6"/>
    </row>
    <row r="16" spans="1:12" ht="15.75">
      <c r="A16" s="6" t="s">
        <v>700</v>
      </c>
      <c r="B16" s="6"/>
      <c r="C16" s="6">
        <v>30</v>
      </c>
      <c r="D16" s="6"/>
      <c r="E16" s="6">
        <v>30</v>
      </c>
      <c r="F16" s="6"/>
      <c r="G16" s="6">
        <v>30</v>
      </c>
      <c r="H16" s="6"/>
      <c r="I16" s="6"/>
      <c r="J16" s="6"/>
      <c r="K16" s="6"/>
      <c r="L16" s="6"/>
    </row>
    <row r="17" spans="1:12" ht="15.75">
      <c r="A17" s="6"/>
      <c r="B17" s="6"/>
      <c r="C17" s="6"/>
      <c r="D17" s="6"/>
      <c r="E17" s="6"/>
      <c r="F17" s="6"/>
      <c r="G17" s="6"/>
      <c r="H17" s="6"/>
      <c r="I17" s="6"/>
      <c r="J17" s="6"/>
      <c r="K17" s="6"/>
      <c r="L17" s="6"/>
    </row>
    <row r="18" spans="1:12" ht="15.75">
      <c r="A18" s="5" t="s">
        <v>706</v>
      </c>
      <c r="B18" s="5"/>
      <c r="C18" s="5">
        <f>+C14*C16</f>
        <v>360</v>
      </c>
      <c r="D18" s="5"/>
      <c r="E18" s="5">
        <f>+E14*E16</f>
        <v>360</v>
      </c>
      <c r="F18" s="5"/>
      <c r="G18" s="5">
        <f>+G14*G16</f>
        <v>360</v>
      </c>
      <c r="H18" s="5"/>
      <c r="I18" s="5">
        <f>SUM(C18:G18)</f>
        <v>1080</v>
      </c>
      <c r="J18" s="6"/>
      <c r="K18" s="6"/>
      <c r="L18" s="6"/>
    </row>
    <row r="19" spans="1:12" ht="15.75">
      <c r="A19" s="6"/>
      <c r="B19" s="6"/>
      <c r="C19" s="6"/>
      <c r="D19" s="6"/>
      <c r="E19" s="6"/>
      <c r="F19" s="6"/>
      <c r="G19" s="6"/>
      <c r="H19" s="6"/>
      <c r="I19" s="6"/>
      <c r="J19" s="6"/>
      <c r="K19" s="6"/>
      <c r="L19" s="6"/>
    </row>
    <row r="20" spans="1:12" ht="15.75">
      <c r="A20" s="6"/>
      <c r="B20" s="6"/>
      <c r="C20" s="6"/>
      <c r="D20" s="6"/>
      <c r="E20" s="6"/>
      <c r="F20" s="6"/>
      <c r="G20" s="6"/>
      <c r="H20" s="6"/>
      <c r="I20" s="6"/>
      <c r="J20" s="6"/>
      <c r="K20" s="6"/>
      <c r="L20" s="6"/>
    </row>
    <row r="21" spans="1:12" ht="15.75">
      <c r="A21" s="6"/>
      <c r="B21" s="6"/>
      <c r="C21" s="6"/>
      <c r="D21" s="6"/>
      <c r="E21" s="6"/>
      <c r="F21" s="6"/>
      <c r="G21" s="6"/>
      <c r="H21" s="6"/>
      <c r="I21" s="6"/>
      <c r="J21" s="6"/>
      <c r="K21" s="6"/>
      <c r="L21" s="6"/>
    </row>
    <row r="22" spans="1:12" ht="15.75">
      <c r="A22" s="6"/>
      <c r="B22" s="6"/>
      <c r="C22" s="6"/>
      <c r="D22" s="6"/>
      <c r="E22" s="6"/>
      <c r="F22" s="6"/>
      <c r="G22" s="6"/>
      <c r="H22" s="6"/>
      <c r="I22" s="6"/>
      <c r="J22" s="6"/>
      <c r="K22" s="6"/>
      <c r="L22" s="6"/>
    </row>
    <row r="23" spans="1:12" ht="15.75">
      <c r="A23" s="6"/>
      <c r="B23" s="6"/>
      <c r="C23" s="6"/>
      <c r="D23" s="6"/>
      <c r="E23" s="6"/>
      <c r="F23" s="6"/>
      <c r="G23" s="6"/>
      <c r="H23" s="6"/>
      <c r="I23" s="6"/>
      <c r="J23" s="6"/>
      <c r="K23" s="6"/>
      <c r="L23" s="6"/>
    </row>
    <row r="24" spans="1:12" ht="15.75">
      <c r="A24" s="6"/>
      <c r="B24" s="6"/>
      <c r="C24" s="6"/>
      <c r="D24" s="6"/>
      <c r="E24" s="6"/>
      <c r="F24" s="6"/>
      <c r="G24" s="6"/>
      <c r="H24" s="6"/>
      <c r="I24" s="6"/>
      <c r="J24" s="6"/>
      <c r="K24" s="6"/>
      <c r="L24" s="6"/>
    </row>
    <row r="25" spans="1:12" ht="15.75">
      <c r="A25" s="6"/>
      <c r="B25" s="6"/>
      <c r="C25" s="6"/>
      <c r="D25" s="6"/>
      <c r="E25" s="6"/>
      <c r="F25" s="6"/>
      <c r="G25" s="6"/>
      <c r="H25" s="6"/>
      <c r="I25" s="6"/>
      <c r="J25" s="6"/>
      <c r="K25" s="6"/>
      <c r="L25" s="6"/>
    </row>
    <row r="26" spans="1:12" ht="15.75">
      <c r="A26" s="6"/>
      <c r="B26" s="6"/>
      <c r="C26" s="6"/>
      <c r="D26" s="6"/>
      <c r="E26" s="6"/>
      <c r="F26" s="6"/>
      <c r="G26" s="6"/>
      <c r="H26" s="6"/>
      <c r="I26" s="6"/>
      <c r="J26" s="6"/>
      <c r="K26" s="6"/>
      <c r="L26" s="6"/>
    </row>
    <row r="27" spans="1:12" ht="15.75">
      <c r="A27" s="6"/>
      <c r="B27" s="6"/>
      <c r="C27" s="6"/>
      <c r="D27" s="6"/>
      <c r="E27" s="6"/>
      <c r="F27" s="6"/>
      <c r="G27" s="6"/>
      <c r="H27" s="6"/>
      <c r="I27" s="6"/>
      <c r="J27" s="6"/>
      <c r="K27" s="6"/>
      <c r="L27" s="6"/>
    </row>
    <row r="28" spans="1:12" ht="15.75">
      <c r="A28" s="6"/>
      <c r="B28" s="6"/>
      <c r="C28" s="6"/>
      <c r="D28" s="6"/>
      <c r="E28" s="6"/>
      <c r="F28" s="6"/>
      <c r="G28" s="6"/>
      <c r="H28" s="6"/>
      <c r="I28" s="6"/>
      <c r="J28" s="6"/>
      <c r="K28" s="6"/>
      <c r="L28" s="6"/>
    </row>
    <row r="29" spans="1:12" ht="15.75">
      <c r="A29" s="6"/>
      <c r="B29" s="6"/>
      <c r="C29" s="6"/>
      <c r="D29" s="6"/>
      <c r="E29" s="6"/>
      <c r="F29" s="6"/>
      <c r="G29" s="6"/>
      <c r="H29" s="6"/>
      <c r="I29" s="6"/>
      <c r="J29" s="6"/>
      <c r="K29" s="6"/>
      <c r="L29" s="6"/>
    </row>
    <row r="30" spans="1:12" ht="15.75">
      <c r="A30" s="6"/>
      <c r="B30" s="6"/>
      <c r="C30" s="6"/>
      <c r="D30" s="6"/>
      <c r="E30" s="6"/>
      <c r="F30" s="6"/>
      <c r="G30" s="6"/>
      <c r="H30" s="6"/>
      <c r="I30" s="6"/>
      <c r="J30" s="6"/>
      <c r="K30" s="6"/>
      <c r="L30" s="6"/>
    </row>
    <row r="31" spans="1:12" ht="15.75">
      <c r="A31" s="6"/>
      <c r="B31" s="6"/>
      <c r="C31" s="6"/>
      <c r="D31" s="6"/>
      <c r="E31" s="6"/>
      <c r="F31" s="6"/>
      <c r="G31" s="6"/>
      <c r="H31" s="6"/>
      <c r="I31" s="6"/>
      <c r="J31" s="6"/>
      <c r="K31" s="6"/>
      <c r="L31" s="6"/>
    </row>
    <row r="32" spans="1:12" ht="15.75">
      <c r="A32" s="6"/>
      <c r="B32" s="6"/>
      <c r="C32" s="6"/>
      <c r="D32" s="6"/>
      <c r="E32" s="6"/>
      <c r="F32" s="6"/>
      <c r="G32" s="6"/>
      <c r="H32" s="6"/>
      <c r="I32" s="6"/>
      <c r="J32" s="6"/>
      <c r="K32" s="6"/>
      <c r="L32" s="6"/>
    </row>
    <row r="33" spans="1:12" ht="15.75">
      <c r="A33" s="6"/>
      <c r="B33" s="6"/>
      <c r="C33" s="6"/>
      <c r="D33" s="6"/>
      <c r="E33" s="6"/>
      <c r="F33" s="6"/>
      <c r="G33" s="6"/>
      <c r="H33" s="6"/>
      <c r="I33" s="6"/>
      <c r="J33" s="6"/>
      <c r="K33" s="6"/>
      <c r="L33" s="6"/>
    </row>
    <row r="34" spans="1:12" ht="15.75">
      <c r="A34" s="6"/>
      <c r="B34" s="6"/>
      <c r="C34" s="6"/>
      <c r="D34" s="6"/>
      <c r="E34" s="6"/>
      <c r="F34" s="6"/>
      <c r="G34" s="6"/>
      <c r="H34" s="6"/>
      <c r="I34" s="6"/>
      <c r="J34" s="6"/>
      <c r="K34" s="6"/>
      <c r="L34" s="6"/>
    </row>
    <row r="35" spans="1:12" ht="15.75">
      <c r="A35" s="6"/>
      <c r="B35" s="6"/>
      <c r="C35" s="6"/>
      <c r="D35" s="6"/>
      <c r="E35" s="6"/>
      <c r="F35" s="6"/>
      <c r="G35" s="6"/>
      <c r="H35" s="6"/>
      <c r="I35" s="6"/>
      <c r="J35" s="6"/>
      <c r="K35" s="6"/>
      <c r="L35" s="6"/>
    </row>
    <row r="36" spans="1:12" ht="15.75">
      <c r="A36" s="6"/>
      <c r="B36" s="6"/>
      <c r="C36" s="6"/>
      <c r="D36" s="6"/>
      <c r="E36" s="6"/>
      <c r="F36" s="6"/>
      <c r="G36" s="6"/>
      <c r="H36" s="6"/>
      <c r="I36" s="6"/>
      <c r="J36" s="6"/>
      <c r="K36" s="6"/>
      <c r="L36" s="6"/>
    </row>
    <row r="37" spans="1:12" ht="15.75">
      <c r="A37" s="6"/>
      <c r="B37" s="6"/>
      <c r="C37" s="6"/>
      <c r="D37" s="6"/>
      <c r="E37" s="6"/>
      <c r="F37" s="6"/>
      <c r="G37" s="6"/>
      <c r="H37" s="6"/>
      <c r="I37" s="6"/>
      <c r="J37" s="6"/>
      <c r="K37" s="6"/>
      <c r="L37" s="6"/>
    </row>
    <row r="38" spans="1:12" ht="15.75">
      <c r="A38" s="6"/>
      <c r="B38" s="6"/>
      <c r="C38" s="6"/>
      <c r="D38" s="6"/>
      <c r="E38" s="6"/>
      <c r="F38" s="6"/>
      <c r="G38" s="6"/>
      <c r="H38" s="6"/>
      <c r="I38" s="6"/>
      <c r="J38" s="6"/>
      <c r="K38" s="6"/>
      <c r="L38" s="6"/>
    </row>
    <row r="39" spans="1:12" ht="15.75">
      <c r="A39" s="6"/>
      <c r="B39" s="6"/>
      <c r="C39" s="6"/>
      <c r="D39" s="6"/>
      <c r="E39" s="6"/>
      <c r="F39" s="6"/>
      <c r="G39" s="6"/>
      <c r="H39" s="6"/>
      <c r="I39" s="6"/>
      <c r="J39" s="6"/>
      <c r="K39" s="6"/>
      <c r="L39" s="6"/>
    </row>
    <row r="40" spans="1:12" ht="15.75">
      <c r="A40" s="6"/>
      <c r="B40" s="6"/>
      <c r="C40" s="6"/>
      <c r="D40" s="6"/>
      <c r="E40" s="6"/>
      <c r="F40" s="6"/>
      <c r="G40" s="6"/>
      <c r="H40" s="6"/>
      <c r="I40" s="6"/>
      <c r="J40" s="6"/>
      <c r="K40" s="6"/>
      <c r="L40" s="6"/>
    </row>
    <row r="41" spans="1:12" ht="15.75">
      <c r="A41" s="6"/>
      <c r="B41" s="6"/>
      <c r="C41" s="6"/>
      <c r="D41" s="6"/>
      <c r="E41" s="6"/>
      <c r="F41" s="6"/>
      <c r="G41" s="6"/>
      <c r="H41" s="6"/>
      <c r="I41" s="6"/>
      <c r="J41" s="6"/>
      <c r="K41" s="6"/>
      <c r="L41" s="6"/>
    </row>
    <row r="42" spans="1:12" ht="15.75">
      <c r="A42" s="6"/>
      <c r="B42" s="6"/>
      <c r="C42" s="6"/>
      <c r="D42" s="6"/>
      <c r="E42" s="6"/>
      <c r="F42" s="6"/>
      <c r="G42" s="6"/>
      <c r="H42" s="6"/>
      <c r="I42" s="6"/>
      <c r="J42" s="6"/>
      <c r="K42" s="6"/>
      <c r="L42" s="6"/>
    </row>
    <row r="43" spans="1:12" ht="15.75">
      <c r="A43" s="6"/>
      <c r="B43" s="6"/>
      <c r="C43" s="6"/>
      <c r="D43" s="6"/>
      <c r="E43" s="6"/>
      <c r="F43" s="6"/>
      <c r="G43" s="6"/>
      <c r="H43" s="6"/>
      <c r="I43" s="6"/>
      <c r="J43" s="6"/>
      <c r="K43" s="6"/>
      <c r="L43" s="6"/>
    </row>
    <row r="44" spans="1:12" ht="15.75">
      <c r="A44" s="6"/>
      <c r="B44" s="6"/>
      <c r="C44" s="6"/>
      <c r="D44" s="6"/>
      <c r="E44" s="6"/>
      <c r="F44" s="6"/>
      <c r="G44" s="6"/>
      <c r="H44" s="6"/>
      <c r="I44" s="6"/>
      <c r="J44" s="6"/>
      <c r="K44" s="6"/>
      <c r="L44" s="6"/>
    </row>
    <row r="45" spans="1:12" ht="15.75">
      <c r="A45" s="6"/>
      <c r="B45" s="6"/>
      <c r="C45" s="6"/>
      <c r="D45" s="6"/>
      <c r="E45" s="6"/>
      <c r="F45" s="6"/>
      <c r="G45" s="6"/>
      <c r="H45" s="6"/>
      <c r="I45" s="6"/>
      <c r="J45" s="6"/>
      <c r="K45" s="6"/>
      <c r="L45" s="6"/>
    </row>
    <row r="46" spans="1:12" ht="15.75">
      <c r="A46" s="6"/>
      <c r="B46" s="6"/>
      <c r="C46" s="6"/>
      <c r="D46" s="6"/>
      <c r="E46" s="6"/>
      <c r="F46" s="6"/>
      <c r="G46" s="6"/>
      <c r="H46" s="6"/>
      <c r="I46" s="6"/>
      <c r="J46" s="6"/>
      <c r="K46" s="6"/>
      <c r="L46" s="6"/>
    </row>
    <row r="47" spans="1:12" ht="15.75">
      <c r="A47" s="6"/>
      <c r="B47" s="6"/>
      <c r="C47" s="6"/>
      <c r="D47" s="6"/>
      <c r="E47" s="6"/>
      <c r="F47" s="6"/>
      <c r="G47" s="6"/>
      <c r="H47" s="6"/>
      <c r="I47" s="6"/>
      <c r="J47" s="6"/>
      <c r="K47" s="6"/>
      <c r="L47" s="6"/>
    </row>
    <row r="48" spans="1:12" ht="15.75">
      <c r="A48" s="6"/>
      <c r="B48" s="6"/>
      <c r="C48" s="6"/>
      <c r="D48" s="6"/>
      <c r="E48" s="6"/>
      <c r="F48" s="6"/>
      <c r="G48" s="6"/>
      <c r="H48" s="6"/>
      <c r="I48" s="6"/>
      <c r="J48" s="6"/>
      <c r="K48" s="6"/>
      <c r="L48" s="6"/>
    </row>
    <row r="49" spans="1:12" ht="15.75">
      <c r="A49" s="6"/>
      <c r="B49" s="6"/>
      <c r="C49" s="6"/>
      <c r="D49" s="6"/>
      <c r="E49" s="6"/>
      <c r="F49" s="6"/>
      <c r="G49" s="6"/>
      <c r="H49" s="6"/>
      <c r="I49" s="6"/>
      <c r="J49" s="6"/>
      <c r="K49" s="6"/>
      <c r="L49" s="6"/>
    </row>
    <row r="50" spans="1:12" ht="15.75">
      <c r="A50" s="6"/>
      <c r="B50" s="6"/>
      <c r="C50" s="6"/>
      <c r="D50" s="6"/>
      <c r="E50" s="6"/>
      <c r="F50" s="6"/>
      <c r="G50" s="6"/>
      <c r="H50" s="6"/>
      <c r="I50" s="6"/>
      <c r="J50" s="6"/>
      <c r="K50" s="6"/>
      <c r="L50" s="6"/>
    </row>
    <row r="51" spans="1:12" ht="15.75">
      <c r="A51" s="6"/>
      <c r="B51" s="6"/>
      <c r="C51" s="6"/>
      <c r="D51" s="6"/>
      <c r="E51" s="6"/>
      <c r="F51" s="6"/>
      <c r="G51" s="6"/>
      <c r="H51" s="6"/>
      <c r="I51" s="6"/>
      <c r="J51" s="6"/>
      <c r="K51" s="6"/>
      <c r="L51" s="6"/>
    </row>
    <row r="52" spans="1:12" ht="15.75">
      <c r="A52" s="6"/>
      <c r="B52" s="6"/>
      <c r="C52" s="6"/>
      <c r="D52" s="6"/>
      <c r="E52" s="6"/>
      <c r="F52" s="6"/>
      <c r="G52" s="6"/>
      <c r="H52" s="6"/>
      <c r="I52" s="6"/>
      <c r="J52" s="6"/>
      <c r="K52" s="6"/>
      <c r="L52" s="6"/>
    </row>
    <row r="53" spans="1:12" ht="15.75">
      <c r="A53" s="6"/>
      <c r="B53" s="6"/>
      <c r="C53" s="6"/>
      <c r="D53" s="6"/>
      <c r="E53" s="6"/>
      <c r="F53" s="6"/>
      <c r="G53" s="6"/>
      <c r="H53" s="6"/>
      <c r="I53" s="6"/>
      <c r="J53" s="6"/>
      <c r="K53" s="6"/>
      <c r="L53" s="6"/>
    </row>
    <row r="54" spans="1:12" ht="15.75">
      <c r="A54" s="6"/>
      <c r="B54" s="6"/>
      <c r="C54" s="6"/>
      <c r="D54" s="6"/>
      <c r="E54" s="6"/>
      <c r="F54" s="6"/>
      <c r="G54" s="6"/>
      <c r="H54" s="6"/>
      <c r="I54" s="6"/>
      <c r="J54" s="6"/>
      <c r="K54" s="6"/>
      <c r="L54" s="6"/>
    </row>
    <row r="55" spans="1:12" ht="15.75">
      <c r="A55" s="6"/>
      <c r="B55" s="6"/>
      <c r="C55" s="6"/>
      <c r="D55" s="6"/>
      <c r="E55" s="6"/>
      <c r="F55" s="6"/>
      <c r="G55" s="6"/>
      <c r="H55" s="6"/>
      <c r="I55" s="6"/>
      <c r="J55" s="6"/>
      <c r="K55" s="6"/>
      <c r="L55" s="6"/>
    </row>
    <row r="56" spans="1:12" ht="15.75">
      <c r="A56" s="6"/>
      <c r="B56" s="6"/>
      <c r="C56" s="6"/>
      <c r="D56" s="6"/>
      <c r="E56" s="6"/>
      <c r="F56" s="6"/>
      <c r="G56" s="6"/>
      <c r="H56" s="6"/>
      <c r="I56" s="6"/>
      <c r="J56" s="6"/>
      <c r="K56" s="6"/>
      <c r="L56" s="6"/>
    </row>
    <row r="57" spans="1:12" ht="15.75">
      <c r="A57" s="6"/>
      <c r="B57" s="6"/>
      <c r="C57" s="6"/>
      <c r="D57" s="6"/>
      <c r="E57" s="6"/>
      <c r="F57" s="6"/>
      <c r="G57" s="6"/>
      <c r="H57" s="6"/>
      <c r="I57" s="6"/>
      <c r="J57" s="6"/>
      <c r="K57" s="6"/>
      <c r="L57" s="6"/>
    </row>
  </sheetData>
  <sheetProtection/>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I58"/>
  <sheetViews>
    <sheetView zoomScalePageLayoutView="0" workbookViewId="0" topLeftCell="B23">
      <selection activeCell="I41" sqref="I41"/>
    </sheetView>
  </sheetViews>
  <sheetFormatPr defaultColWidth="9.140625" defaultRowHeight="15"/>
  <cols>
    <col min="1" max="1" width="50.140625" style="0" customWidth="1"/>
    <col min="2" max="2" width="53.421875" style="0" customWidth="1"/>
    <col min="3" max="3" width="15.8515625" style="0" customWidth="1"/>
    <col min="4" max="4" width="16.8515625" style="0" customWidth="1"/>
    <col min="5" max="5" width="17.7109375" style="0" customWidth="1"/>
    <col min="6" max="6" width="15.140625" style="0" customWidth="1"/>
    <col min="7" max="7" width="16.28125" style="0" customWidth="1"/>
    <col min="8" max="9" width="16.00390625" style="0" customWidth="1"/>
  </cols>
  <sheetData>
    <row r="1" ht="20.25">
      <c r="A1" s="1" t="s">
        <v>0</v>
      </c>
    </row>
    <row r="2" ht="20.25">
      <c r="A2" s="1" t="s">
        <v>3</v>
      </c>
    </row>
    <row r="3" ht="20.25">
      <c r="A3" s="1" t="s">
        <v>1</v>
      </c>
    </row>
    <row r="4" ht="20.25">
      <c r="A4" s="1" t="s">
        <v>565</v>
      </c>
    </row>
    <row r="5" ht="20.25">
      <c r="A5" s="1" t="s">
        <v>566</v>
      </c>
    </row>
    <row r="8" spans="1:2" ht="20.25">
      <c r="A8" s="170" t="s">
        <v>567</v>
      </c>
      <c r="B8" s="64"/>
    </row>
    <row r="9" spans="1:2" ht="15.75" customHeight="1">
      <c r="A9" s="277"/>
      <c r="B9" s="64"/>
    </row>
    <row r="10" spans="1:9" ht="15.75" customHeight="1">
      <c r="A10" s="208"/>
      <c r="B10" s="217"/>
      <c r="C10" s="235" t="s">
        <v>201</v>
      </c>
      <c r="D10" s="235" t="s">
        <v>202</v>
      </c>
      <c r="E10" s="235" t="s">
        <v>203</v>
      </c>
      <c r="F10" s="235" t="s">
        <v>204</v>
      </c>
      <c r="G10" s="235" t="s">
        <v>205</v>
      </c>
      <c r="H10" s="6"/>
      <c r="I10" s="6"/>
    </row>
    <row r="11" spans="1:9" ht="15.75" customHeight="1">
      <c r="A11" s="208"/>
      <c r="B11" s="217"/>
      <c r="C11" s="235" t="s">
        <v>207</v>
      </c>
      <c r="D11" s="235" t="s">
        <v>208</v>
      </c>
      <c r="E11" s="235" t="s">
        <v>209</v>
      </c>
      <c r="F11" s="235" t="s">
        <v>210</v>
      </c>
      <c r="G11" s="235" t="s">
        <v>211</v>
      </c>
      <c r="H11" s="235" t="s">
        <v>212</v>
      </c>
      <c r="I11" s="235" t="s">
        <v>594</v>
      </c>
    </row>
    <row r="12" spans="1:9" ht="15.75" customHeight="1">
      <c r="A12" s="6"/>
      <c r="B12" s="235" t="s">
        <v>573</v>
      </c>
      <c r="C12" s="6"/>
      <c r="D12" s="6"/>
      <c r="E12" s="6"/>
      <c r="F12" s="6"/>
      <c r="G12" s="6"/>
      <c r="H12" s="6"/>
      <c r="I12" s="6"/>
    </row>
    <row r="13" spans="1:9" ht="15.75">
      <c r="A13" s="217" t="s">
        <v>510</v>
      </c>
      <c r="B13" s="6" t="s">
        <v>574</v>
      </c>
      <c r="C13" s="31">
        <f>+'Labor Budget'!D52</f>
        <v>455200</v>
      </c>
      <c r="D13" s="31">
        <f>+'Labor Budget'!E52</f>
        <v>477960</v>
      </c>
      <c r="E13" s="31">
        <f>+'Labor Budget'!F52</f>
        <v>501858</v>
      </c>
      <c r="F13" s="31">
        <f>+'Labor Budget'!G52</f>
        <v>526950.8999999998</v>
      </c>
      <c r="G13" s="31">
        <f>+'Labor Budget'!H52</f>
        <v>553298.4449999998</v>
      </c>
      <c r="H13" s="31">
        <f>SUM(C13:G13)</f>
        <v>2515267.3449999997</v>
      </c>
      <c r="I13" s="6"/>
    </row>
    <row r="14" spans="1:9" ht="15.75">
      <c r="A14" s="6"/>
      <c r="B14" s="6"/>
      <c r="C14" s="6"/>
      <c r="D14" s="6"/>
      <c r="E14" s="6"/>
      <c r="F14" s="6"/>
      <c r="G14" s="6"/>
      <c r="H14" s="6"/>
      <c r="I14" s="6"/>
    </row>
    <row r="15" spans="1:9" ht="15.75">
      <c r="A15" s="217" t="s">
        <v>110</v>
      </c>
      <c r="B15" s="5" t="s">
        <v>573</v>
      </c>
      <c r="C15" s="6"/>
      <c r="D15" s="6"/>
      <c r="E15" s="6"/>
      <c r="F15" s="6"/>
      <c r="G15" s="6"/>
      <c r="H15" s="6"/>
      <c r="I15" s="6"/>
    </row>
    <row r="16" spans="2:9" ht="15.75">
      <c r="B16" s="6" t="s">
        <v>575</v>
      </c>
      <c r="C16" s="6"/>
      <c r="D16" s="6"/>
      <c r="E16" s="6"/>
      <c r="F16" s="6"/>
      <c r="G16" s="6"/>
      <c r="H16" s="262">
        <f>+'Multifamily Homes Budget.Canaan'!D328</f>
        <v>8100000</v>
      </c>
      <c r="I16" s="6"/>
    </row>
    <row r="17" spans="1:9" ht="15.75">
      <c r="A17" s="217"/>
      <c r="B17" s="224" t="s">
        <v>576</v>
      </c>
      <c r="C17" s="6"/>
      <c r="D17" s="6"/>
      <c r="E17" s="6"/>
      <c r="F17" s="6"/>
      <c r="G17" s="6"/>
      <c r="H17" s="262">
        <f>+'Multifamily Homes Budget.Other'!F328</f>
        <v>72000</v>
      </c>
      <c r="I17" s="6"/>
    </row>
    <row r="18" spans="1:9" ht="15.75">
      <c r="A18" s="217"/>
      <c r="B18" s="224" t="s">
        <v>577</v>
      </c>
      <c r="C18" s="6"/>
      <c r="D18" s="6"/>
      <c r="E18" s="6"/>
      <c r="F18" s="6"/>
      <c r="G18" s="6"/>
      <c r="H18" s="262">
        <f>+H17</f>
        <v>72000</v>
      </c>
      <c r="I18" s="6"/>
    </row>
    <row r="19" spans="1:9" ht="15.75">
      <c r="A19" s="217"/>
      <c r="B19" s="224" t="s">
        <v>578</v>
      </c>
      <c r="C19" s="6"/>
      <c r="D19" s="6"/>
      <c r="E19" s="6"/>
      <c r="F19" s="6"/>
      <c r="G19" s="6"/>
      <c r="H19" s="262">
        <f>+H17</f>
        <v>72000</v>
      </c>
      <c r="I19" s="6"/>
    </row>
    <row r="20" spans="1:9" ht="15.75">
      <c r="A20" s="217"/>
      <c r="B20" s="224" t="s">
        <v>579</v>
      </c>
      <c r="C20" s="6"/>
      <c r="D20" s="6"/>
      <c r="E20" s="6"/>
      <c r="F20" s="6"/>
      <c r="G20" s="6"/>
      <c r="H20" s="262">
        <f>+H17</f>
        <v>72000</v>
      </c>
      <c r="I20" s="6"/>
    </row>
    <row r="21" spans="1:9" ht="15.75">
      <c r="A21" s="217"/>
      <c r="B21" s="224" t="s">
        <v>580</v>
      </c>
      <c r="C21" s="6"/>
      <c r="D21" s="6"/>
      <c r="E21" s="6"/>
      <c r="F21" s="6"/>
      <c r="G21" s="6"/>
      <c r="H21" s="262">
        <f>+'Multifamily Homes Budget.Other'!E347</f>
        <v>43750</v>
      </c>
      <c r="I21" s="262"/>
    </row>
    <row r="22" spans="1:9" ht="15.75">
      <c r="A22" s="217"/>
      <c r="B22" s="224"/>
      <c r="C22" s="6"/>
      <c r="D22" s="6"/>
      <c r="E22" s="6"/>
      <c r="F22" s="6"/>
      <c r="G22" s="6"/>
      <c r="H22" s="262"/>
      <c r="I22" s="6"/>
    </row>
    <row r="23" spans="1:9" ht="15.75">
      <c r="A23" s="217"/>
      <c r="B23" s="211" t="s">
        <v>581</v>
      </c>
      <c r="C23" s="5"/>
      <c r="D23" s="5"/>
      <c r="E23" s="5"/>
      <c r="F23" s="5"/>
      <c r="G23" s="5"/>
      <c r="H23" s="278">
        <f>SUM(H16:H21)</f>
        <v>8431750</v>
      </c>
      <c r="I23" s="6"/>
    </row>
    <row r="24" spans="1:9" ht="15.75">
      <c r="A24" s="217"/>
      <c r="B24" s="224" t="s">
        <v>2</v>
      </c>
      <c r="C24" s="31">
        <f>++'Labor Budget'!D82</f>
        <v>3722712</v>
      </c>
      <c r="D24" s="31">
        <f>++'Labor Budget'!E82</f>
        <v>3689736</v>
      </c>
      <c r="E24" s="31">
        <f>++'Labor Budget'!F82</f>
        <v>186300</v>
      </c>
      <c r="F24" s="31">
        <f>++'Labor Budget'!G82</f>
        <v>192915</v>
      </c>
      <c r="G24" s="31">
        <f>++'Labor Budget'!H82</f>
        <v>199860.75</v>
      </c>
      <c r="H24" s="31">
        <f>SUM(C24:G24)</f>
        <v>7991523.75</v>
      </c>
      <c r="I24" s="6"/>
    </row>
    <row r="25" spans="1:9" ht="15.75">
      <c r="A25" s="6"/>
      <c r="B25" s="224" t="s">
        <v>582</v>
      </c>
      <c r="D25" s="177"/>
      <c r="H25" s="281">
        <f>+H23-H24</f>
        <v>440226.25</v>
      </c>
      <c r="I25" s="268">
        <f>+H25</f>
        <v>440226.25</v>
      </c>
    </row>
    <row r="26" spans="1:9" ht="15.75">
      <c r="A26" s="6"/>
      <c r="B26" s="6"/>
      <c r="C26" s="6"/>
      <c r="D26" s="6"/>
      <c r="E26" s="6"/>
      <c r="F26" s="6"/>
      <c r="G26" s="6"/>
      <c r="H26" s="6"/>
      <c r="I26" s="6"/>
    </row>
    <row r="27" spans="1:9" ht="15.75">
      <c r="A27" s="6" t="s">
        <v>568</v>
      </c>
      <c r="B27" s="5" t="s">
        <v>573</v>
      </c>
      <c r="C27" s="6"/>
      <c r="D27" s="6"/>
      <c r="E27" s="6"/>
      <c r="F27" s="6"/>
      <c r="G27" s="6"/>
      <c r="H27" s="279">
        <v>1500000</v>
      </c>
      <c r="I27" s="6"/>
    </row>
    <row r="28" spans="2:9" ht="15.75">
      <c r="B28" s="6" t="s">
        <v>584</v>
      </c>
      <c r="C28" s="31">
        <f>+'Labor Budget'!D88</f>
        <v>510912</v>
      </c>
      <c r="D28" s="31">
        <f>+'Labor Budget'!E88</f>
        <v>510912</v>
      </c>
      <c r="E28" s="31">
        <f>+'Labor Budget'!F88</f>
        <v>510912</v>
      </c>
      <c r="F28" s="31">
        <f>+'Labor Budget'!G88</f>
        <v>0</v>
      </c>
      <c r="G28" s="31">
        <f>+'Labor Budget'!H88</f>
        <v>0</v>
      </c>
      <c r="H28" s="31">
        <f>SUM(C28:G28)</f>
        <v>1532736</v>
      </c>
      <c r="I28" s="6"/>
    </row>
    <row r="29" spans="1:9" ht="15.75">
      <c r="A29" s="6"/>
      <c r="B29" s="6" t="s">
        <v>585</v>
      </c>
      <c r="C29" s="6"/>
      <c r="D29" s="6"/>
      <c r="E29" s="6"/>
      <c r="F29" s="6"/>
      <c r="G29" s="6"/>
      <c r="H29" s="268">
        <f>+H27-H28</f>
        <v>-32736</v>
      </c>
      <c r="I29" s="268">
        <f>+H29</f>
        <v>-32736</v>
      </c>
    </row>
    <row r="30" spans="1:9" ht="15.75">
      <c r="A30" s="6"/>
      <c r="B30" s="6"/>
      <c r="C30" s="6"/>
      <c r="D30" s="6"/>
      <c r="E30" s="6"/>
      <c r="F30" s="6"/>
      <c r="G30" s="6"/>
      <c r="H30" s="6"/>
      <c r="I30" s="6"/>
    </row>
    <row r="31" spans="1:9" ht="15.75">
      <c r="A31" s="6" t="s">
        <v>569</v>
      </c>
      <c r="B31" s="5" t="s">
        <v>573</v>
      </c>
      <c r="C31" s="6"/>
      <c r="D31" s="6"/>
      <c r="E31" s="6"/>
      <c r="F31" s="6"/>
      <c r="G31" s="6"/>
      <c r="H31" s="279">
        <v>1000000</v>
      </c>
      <c r="I31" s="6"/>
    </row>
    <row r="32" spans="2:9" ht="15.75">
      <c r="B32" s="6" t="s">
        <v>586</v>
      </c>
      <c r="C32" s="31">
        <f>+'Labor Budget'!D94</f>
        <v>406656</v>
      </c>
      <c r="D32" s="31">
        <f>+'Labor Budget'!E94</f>
        <v>406656</v>
      </c>
      <c r="E32" s="31">
        <f>+'Labor Budget'!F94</f>
        <v>0</v>
      </c>
      <c r="F32" s="31">
        <f>+'Labor Budget'!G94</f>
        <v>0</v>
      </c>
      <c r="G32" s="31">
        <f>+'Labor Budget'!H94</f>
        <v>0</v>
      </c>
      <c r="H32" s="31">
        <f>SUM(C32:G32)</f>
        <v>813312</v>
      </c>
      <c r="I32" s="6"/>
    </row>
    <row r="33" spans="1:9" ht="15.75">
      <c r="A33" s="6"/>
      <c r="B33" s="6" t="s">
        <v>591</v>
      </c>
      <c r="C33" s="6"/>
      <c r="D33" s="6"/>
      <c r="E33" s="6"/>
      <c r="F33" s="6"/>
      <c r="G33" s="6"/>
      <c r="H33" s="268">
        <f>+H31-H32</f>
        <v>186688</v>
      </c>
      <c r="I33" s="268">
        <f>+H33</f>
        <v>186688</v>
      </c>
    </row>
    <row r="34" spans="1:9" ht="15.75">
      <c r="A34" s="6"/>
      <c r="B34" s="6"/>
      <c r="C34" s="6"/>
      <c r="D34" s="6"/>
      <c r="E34" s="6"/>
      <c r="F34" s="6"/>
      <c r="G34" s="6"/>
      <c r="H34" s="6"/>
      <c r="I34" s="6"/>
    </row>
    <row r="35" spans="1:9" ht="15.75">
      <c r="A35" s="204" t="s">
        <v>557</v>
      </c>
      <c r="B35" s="6"/>
      <c r="C35" s="6"/>
      <c r="D35" s="6"/>
      <c r="E35" s="6"/>
      <c r="F35" s="6"/>
      <c r="G35" s="6"/>
      <c r="H35" s="6"/>
      <c r="I35" s="6"/>
    </row>
    <row r="36" spans="1:9" ht="15.75">
      <c r="A36" s="6" t="s">
        <v>570</v>
      </c>
      <c r="B36" s="6" t="s">
        <v>574</v>
      </c>
      <c r="C36" s="31">
        <f>+'Labor Budget'!D104</f>
        <v>305000</v>
      </c>
      <c r="D36" s="31">
        <f>+'Labor Budget'!E104</f>
        <v>320250</v>
      </c>
      <c r="E36" s="31">
        <f>+'Labor Budget'!F104</f>
        <v>336262.5</v>
      </c>
      <c r="F36" s="31">
        <f>+'Labor Budget'!G104</f>
        <v>353075.625</v>
      </c>
      <c r="G36" s="31">
        <f>+'Labor Budget'!H104</f>
        <v>370729.40625</v>
      </c>
      <c r="H36" s="31">
        <f>SUM(C36:G36)</f>
        <v>1685317.53125</v>
      </c>
      <c r="I36" s="6"/>
    </row>
    <row r="37" spans="2:9" ht="15.75">
      <c r="B37" s="6"/>
      <c r="I37" s="6"/>
    </row>
    <row r="38" spans="1:9" ht="15.75">
      <c r="A38" s="6" t="s">
        <v>571</v>
      </c>
      <c r="B38" s="6" t="s">
        <v>574</v>
      </c>
      <c r="C38" s="31">
        <f>+'Labor Budget'!D110</f>
        <v>800000</v>
      </c>
      <c r="D38" s="31">
        <f>+'Labor Budget'!E110</f>
        <v>840000</v>
      </c>
      <c r="E38" s="31">
        <f>+'Labor Budget'!F110</f>
        <v>882000</v>
      </c>
      <c r="F38" s="31">
        <f>+'Labor Budget'!G110</f>
        <v>926100</v>
      </c>
      <c r="G38" s="31">
        <f>+'Labor Budget'!H110</f>
        <v>972405</v>
      </c>
      <c r="H38" s="31">
        <f>SUM(C38:G38)</f>
        <v>4420505</v>
      </c>
      <c r="I38" s="10"/>
    </row>
    <row r="39" spans="1:9" ht="15.75">
      <c r="A39" s="6"/>
      <c r="B39" s="6"/>
      <c r="C39" s="6"/>
      <c r="D39" s="6"/>
      <c r="E39" s="6"/>
      <c r="F39" s="6"/>
      <c r="G39" s="6"/>
      <c r="H39" s="6"/>
      <c r="I39" s="6"/>
    </row>
    <row r="40" spans="1:9" ht="15.75">
      <c r="A40" s="6" t="s">
        <v>572</v>
      </c>
      <c r="B40" s="6" t="s">
        <v>574</v>
      </c>
      <c r="C40" s="31">
        <f>+'Labor Budget'!D113</f>
        <v>25200</v>
      </c>
      <c r="D40" s="31">
        <f>+'Labor Budget'!E113</f>
        <v>26460</v>
      </c>
      <c r="E40" s="31">
        <f>+'Labor Budget'!F113</f>
        <v>27783</v>
      </c>
      <c r="F40" s="31">
        <f>+'Labor Budget'!G113</f>
        <v>29172.15</v>
      </c>
      <c r="G40" s="31">
        <f>+'Labor Budget'!H113</f>
        <v>30630.757500000003</v>
      </c>
      <c r="H40" s="31">
        <f>SUM(C40:G40)</f>
        <v>139245.9075</v>
      </c>
      <c r="I40" s="6"/>
    </row>
    <row r="41" spans="1:9" ht="15.75">
      <c r="A41" s="6"/>
      <c r="B41" s="6"/>
      <c r="C41" s="6"/>
      <c r="D41" s="6"/>
      <c r="E41" s="6"/>
      <c r="F41" s="6"/>
      <c r="G41" s="6"/>
      <c r="H41" s="6"/>
      <c r="I41" s="6"/>
    </row>
    <row r="42" spans="1:9" ht="15.75">
      <c r="A42" s="232" t="s">
        <v>541</v>
      </c>
      <c r="B42" s="6" t="s">
        <v>574</v>
      </c>
      <c r="C42" s="31">
        <f>+'Labor Budget'!D116</f>
        <v>105000</v>
      </c>
      <c r="D42" s="31">
        <f>+'Labor Budget'!E116</f>
        <v>110250</v>
      </c>
      <c r="E42" s="31">
        <f>+'Labor Budget'!F116</f>
        <v>115762.5</v>
      </c>
      <c r="F42" s="31">
        <f>+'Labor Budget'!G116</f>
        <v>121550.625</v>
      </c>
      <c r="G42" s="31">
        <f>+'Labor Budget'!H116</f>
        <v>127628.15625</v>
      </c>
      <c r="H42" s="31">
        <f>SUM(C42:G42)</f>
        <v>580191.28125</v>
      </c>
      <c r="I42" s="6"/>
    </row>
    <row r="43" spans="2:9" ht="15.75">
      <c r="B43" s="6"/>
      <c r="I43" s="6"/>
    </row>
    <row r="44" spans="1:9" ht="15.75">
      <c r="A44" s="6"/>
      <c r="B44" s="6"/>
      <c r="C44" s="6"/>
      <c r="D44" s="6"/>
      <c r="E44" s="6"/>
      <c r="F44" s="6"/>
      <c r="G44" s="6"/>
      <c r="H44" s="6"/>
      <c r="I44" s="6"/>
    </row>
    <row r="45" spans="1:9" ht="15.75">
      <c r="A45" s="5" t="s">
        <v>593</v>
      </c>
      <c r="B45" s="5"/>
      <c r="C45" s="245">
        <f>SUM(C13:C43)</f>
        <v>6330680</v>
      </c>
      <c r="D45" s="245">
        <f>SUM(D13:D43)</f>
        <v>6382224</v>
      </c>
      <c r="E45" s="245">
        <f>SUM(E13:E43)</f>
        <v>2560878</v>
      </c>
      <c r="F45" s="245">
        <f>SUM(F13:F43)</f>
        <v>2149764.3</v>
      </c>
      <c r="G45" s="245">
        <f>SUM(G13:G43)</f>
        <v>2254552.5149999997</v>
      </c>
      <c r="H45" s="245">
        <f>SUM(C45:G45)</f>
        <v>19678098.815</v>
      </c>
      <c r="I45" s="245">
        <f>SUM(I13:I42)</f>
        <v>594178.25</v>
      </c>
    </row>
    <row r="46" spans="1:9" ht="15.75">
      <c r="A46" s="6"/>
      <c r="B46" s="6"/>
      <c r="C46" s="6"/>
      <c r="D46" s="6"/>
      <c r="E46" s="6"/>
      <c r="F46" s="6"/>
      <c r="G46" s="6"/>
      <c r="H46" s="31">
        <f>+H42+H40+H38+H36+H32+H28+H24+H13</f>
        <v>19678098.814999998</v>
      </c>
      <c r="I46" s="6"/>
    </row>
    <row r="47" spans="1:9" ht="15.75">
      <c r="A47" s="6"/>
      <c r="B47" s="6"/>
      <c r="C47" s="6"/>
      <c r="D47" s="6"/>
      <c r="E47" s="6"/>
      <c r="F47" s="6"/>
      <c r="G47" s="6"/>
      <c r="H47" s="6"/>
      <c r="I47" s="6"/>
    </row>
    <row r="48" spans="1:9" ht="15.75">
      <c r="A48" s="6"/>
      <c r="B48" s="6"/>
      <c r="C48" s="6"/>
      <c r="D48" s="6"/>
      <c r="E48" s="6"/>
      <c r="F48" s="6"/>
      <c r="G48" s="6"/>
      <c r="H48" s="6"/>
      <c r="I48" s="6"/>
    </row>
    <row r="49" spans="1:9" ht="15.75">
      <c r="A49" s="6"/>
      <c r="B49" s="6"/>
      <c r="C49" s="6"/>
      <c r="D49" s="6"/>
      <c r="E49" s="6"/>
      <c r="F49" s="6"/>
      <c r="G49" s="6"/>
      <c r="H49" s="6"/>
      <c r="I49" s="6"/>
    </row>
    <row r="50" spans="1:9" ht="15.75">
      <c r="A50" s="6"/>
      <c r="B50" s="6"/>
      <c r="C50" s="6"/>
      <c r="D50" s="6"/>
      <c r="E50" s="6"/>
      <c r="F50" s="6"/>
      <c r="G50" s="6"/>
      <c r="H50" s="6"/>
      <c r="I50" s="6"/>
    </row>
    <row r="51" spans="1:9" ht="15.75">
      <c r="A51" s="6"/>
      <c r="B51" s="6"/>
      <c r="C51" s="6"/>
      <c r="D51" s="6"/>
      <c r="E51" s="6"/>
      <c r="F51" s="6"/>
      <c r="G51" s="6"/>
      <c r="H51" s="6"/>
      <c r="I51" s="6"/>
    </row>
    <row r="52" spans="1:9" ht="15.75">
      <c r="A52" s="6"/>
      <c r="B52" s="6"/>
      <c r="C52" s="6"/>
      <c r="D52" s="6"/>
      <c r="E52" s="6"/>
      <c r="F52" s="6"/>
      <c r="G52" s="6"/>
      <c r="H52" s="6"/>
      <c r="I52" s="6"/>
    </row>
    <row r="53" spans="1:9" ht="15.75">
      <c r="A53" s="6"/>
      <c r="B53" s="6"/>
      <c r="C53" s="6"/>
      <c r="D53" s="6"/>
      <c r="E53" s="6"/>
      <c r="F53" s="6"/>
      <c r="G53" s="6"/>
      <c r="H53" s="6"/>
      <c r="I53" s="6"/>
    </row>
    <row r="54" spans="1:9" ht="15.75">
      <c r="A54" s="6"/>
      <c r="B54" s="6"/>
      <c r="C54" s="6"/>
      <c r="D54" s="6"/>
      <c r="E54" s="6"/>
      <c r="F54" s="6"/>
      <c r="G54" s="6"/>
      <c r="H54" s="6"/>
      <c r="I54" s="6"/>
    </row>
    <row r="55" spans="1:9" ht="15.75">
      <c r="A55" s="6"/>
      <c r="B55" s="6"/>
      <c r="C55" s="6"/>
      <c r="D55" s="6"/>
      <c r="E55" s="6"/>
      <c r="F55" s="6"/>
      <c r="G55" s="6"/>
      <c r="H55" s="6"/>
      <c r="I55" s="6"/>
    </row>
    <row r="56" spans="1:9" ht="15.75">
      <c r="A56" s="6"/>
      <c r="B56" s="6"/>
      <c r="C56" s="6"/>
      <c r="D56" s="6"/>
      <c r="E56" s="6"/>
      <c r="F56" s="6"/>
      <c r="G56" s="6"/>
      <c r="H56" s="6"/>
      <c r="I56" s="6"/>
    </row>
    <row r="57" spans="1:9" ht="15.75">
      <c r="A57" s="6"/>
      <c r="B57" s="6"/>
      <c r="C57" s="6"/>
      <c r="D57" s="6"/>
      <c r="E57" s="6"/>
      <c r="F57" s="6"/>
      <c r="G57" s="6"/>
      <c r="H57" s="6"/>
      <c r="I57" s="6"/>
    </row>
    <row r="58" spans="1:9" ht="15.75">
      <c r="A58" s="6"/>
      <c r="B58" s="6"/>
      <c r="C58" s="6"/>
      <c r="D58" s="6"/>
      <c r="E58" s="6"/>
      <c r="F58" s="6"/>
      <c r="G58" s="6"/>
      <c r="H58" s="6"/>
      <c r="I58" s="6"/>
    </row>
  </sheetData>
  <sheetProtection/>
  <printOptions/>
  <pageMargins left="0.11" right="0.5" top="0.25" bottom="0.35" header="0.3" footer="0.3"/>
  <pageSetup horizontalDpi="600" verticalDpi="600" orientation="landscape" scale="60" r:id="rId1"/>
</worksheet>
</file>

<file path=xl/worksheets/sheet3.xml><?xml version="1.0" encoding="utf-8"?>
<worksheet xmlns="http://schemas.openxmlformats.org/spreadsheetml/2006/main" xmlns:r="http://schemas.openxmlformats.org/officeDocument/2006/relationships">
  <dimension ref="A1:J75"/>
  <sheetViews>
    <sheetView zoomScalePageLayoutView="0" workbookViewId="0" topLeftCell="B1">
      <selection activeCell="G1" sqref="G1"/>
    </sheetView>
  </sheetViews>
  <sheetFormatPr defaultColWidth="9.140625" defaultRowHeight="15"/>
  <cols>
    <col min="1" max="1" width="100.140625" style="0" customWidth="1"/>
    <col min="2" max="2" width="16.57421875" style="0" customWidth="1"/>
    <col min="3" max="3" width="15.421875" style="0" customWidth="1"/>
    <col min="4" max="4" width="16.57421875" style="0" customWidth="1"/>
    <col min="5" max="5" width="17.140625" style="0" customWidth="1"/>
    <col min="6" max="6" width="19.421875" style="0" customWidth="1"/>
    <col min="7" max="7" width="16.421875" style="0" customWidth="1"/>
    <col min="8" max="8" width="13.8515625" style="0" customWidth="1"/>
    <col min="10" max="10" width="14.57421875" style="0" bestFit="1" customWidth="1"/>
  </cols>
  <sheetData>
    <row r="1" ht="20.25">
      <c r="A1" s="1" t="s">
        <v>0</v>
      </c>
    </row>
    <row r="2" ht="20.25">
      <c r="A2" s="1" t="s">
        <v>3</v>
      </c>
    </row>
    <row r="3" ht="20.25">
      <c r="A3" s="1" t="s">
        <v>1</v>
      </c>
    </row>
    <row r="4" ht="20.25">
      <c r="A4" s="1" t="s">
        <v>565</v>
      </c>
    </row>
    <row r="5" ht="20.25">
      <c r="A5" s="1" t="s">
        <v>566</v>
      </c>
    </row>
    <row r="7" spans="1:4" ht="20.25">
      <c r="A7" s="170" t="s">
        <v>628</v>
      </c>
      <c r="B7" s="123"/>
      <c r="C7" s="123"/>
      <c r="D7" s="123"/>
    </row>
    <row r="8" spans="1:9" ht="15">
      <c r="A8" s="226"/>
      <c r="B8" s="284" t="s">
        <v>201</v>
      </c>
      <c r="C8" s="284" t="s">
        <v>202</v>
      </c>
      <c r="D8" s="284" t="s">
        <v>203</v>
      </c>
      <c r="E8" s="284" t="s">
        <v>204</v>
      </c>
      <c r="F8" s="284" t="s">
        <v>205</v>
      </c>
      <c r="G8" s="17"/>
      <c r="H8" s="228" t="s">
        <v>603</v>
      </c>
      <c r="I8" s="17"/>
    </row>
    <row r="9" spans="1:9" ht="15">
      <c r="A9" s="226"/>
      <c r="B9" s="284" t="s">
        <v>207</v>
      </c>
      <c r="C9" s="284" t="s">
        <v>208</v>
      </c>
      <c r="D9" s="284" t="s">
        <v>209</v>
      </c>
      <c r="E9" s="284" t="s">
        <v>210</v>
      </c>
      <c r="F9" s="284" t="s">
        <v>211</v>
      </c>
      <c r="G9" s="284" t="s">
        <v>212</v>
      </c>
      <c r="H9" s="284" t="s">
        <v>604</v>
      </c>
      <c r="I9" s="17"/>
    </row>
    <row r="10" spans="1:9" ht="15">
      <c r="A10" s="225" t="s">
        <v>605</v>
      </c>
      <c r="B10" s="284"/>
      <c r="C10" s="284"/>
      <c r="D10" s="284"/>
      <c r="E10" s="284"/>
      <c r="F10" s="284"/>
      <c r="G10" s="284"/>
      <c r="H10" s="17"/>
      <c r="I10" s="17"/>
    </row>
    <row r="11" spans="1:9" ht="15">
      <c r="A11" s="226" t="s">
        <v>120</v>
      </c>
      <c r="B11" s="285">
        <f>+'5 phase budget'!F11</f>
        <v>750000</v>
      </c>
      <c r="C11" s="285">
        <f>+'5 phase budget'!G11</f>
        <v>750000</v>
      </c>
      <c r="D11" s="285">
        <f>+'5 phase budget'!H11</f>
        <v>0</v>
      </c>
      <c r="E11" s="285">
        <f>+'5 phase budget'!I11</f>
        <v>0</v>
      </c>
      <c r="F11" s="285">
        <f>+'5 phase budget'!J11</f>
        <v>0</v>
      </c>
      <c r="G11" s="18">
        <f>SUM(B11:F11)</f>
        <v>1500000</v>
      </c>
      <c r="H11" s="286">
        <f>+G11/G71</f>
        <v>0.006521739130574064</v>
      </c>
      <c r="I11" s="286"/>
    </row>
    <row r="12" spans="1:9" ht="15">
      <c r="A12" s="226" t="s">
        <v>121</v>
      </c>
      <c r="B12" s="285">
        <f>+'5 phase budget'!F12</f>
        <v>500000</v>
      </c>
      <c r="C12" s="285">
        <f>+'5 phase budget'!G12</f>
        <v>500000</v>
      </c>
      <c r="D12" s="285">
        <f>+'5 phase budget'!H12</f>
        <v>500000</v>
      </c>
      <c r="E12" s="285">
        <f>+'5 phase budget'!I12</f>
        <v>0</v>
      </c>
      <c r="F12" s="285">
        <f>+'5 phase budget'!J12</f>
        <v>0</v>
      </c>
      <c r="G12" s="18">
        <f>SUM(B12:F12)</f>
        <v>1500000</v>
      </c>
      <c r="H12" s="286">
        <f>+G12/G71</f>
        <v>0.006521739130574064</v>
      </c>
      <c r="I12" s="286"/>
    </row>
    <row r="13" spans="1:9" ht="15">
      <c r="A13" s="226" t="s">
        <v>122</v>
      </c>
      <c r="B13" s="285">
        <f>+'5 phase budget'!F13</f>
        <v>750000</v>
      </c>
      <c r="C13" s="285">
        <f>+'5 phase budget'!G13</f>
        <v>500000</v>
      </c>
      <c r="D13" s="285">
        <f>+'5 phase budget'!H13</f>
        <v>500000</v>
      </c>
      <c r="E13" s="285">
        <f>+'5 phase budget'!I13</f>
        <v>250000</v>
      </c>
      <c r="F13" s="285">
        <f>+'5 phase budget'!J13</f>
        <v>0</v>
      </c>
      <c r="G13" s="18">
        <f>SUM(B13:F13)</f>
        <v>2000000</v>
      </c>
      <c r="H13" s="286">
        <f>+G13/G71</f>
        <v>0.008695652174098753</v>
      </c>
      <c r="I13" s="286"/>
    </row>
    <row r="14" spans="1:9" ht="15">
      <c r="A14" s="226" t="s">
        <v>606</v>
      </c>
      <c r="B14" s="285">
        <f>+'5 phase budget'!F27+'5 phase budget'!F28</f>
        <v>200000</v>
      </c>
      <c r="C14" s="285">
        <f>+'5 phase budget'!G27+'5 phase budget'!G28</f>
        <v>205000</v>
      </c>
      <c r="D14" s="285">
        <f>+'5 phase budget'!H27+'5 phase budget'!H28</f>
        <v>210250</v>
      </c>
      <c r="E14" s="285">
        <f>+'5 phase budget'!I27+'5 phase budget'!I28</f>
        <v>215762.5</v>
      </c>
      <c r="F14" s="285">
        <f>+'5 phase budget'!J27+'5 phase budget'!J28</f>
        <v>221550.625</v>
      </c>
      <c r="G14" s="18">
        <f>SUM(B14:F14)</f>
        <v>1052563.125</v>
      </c>
      <c r="H14" s="286">
        <f>+G14/G71</f>
        <v>0.004576361413141213</v>
      </c>
      <c r="I14" s="286"/>
    </row>
    <row r="15" spans="1:9" ht="15">
      <c r="A15" s="225" t="s">
        <v>151</v>
      </c>
      <c r="B15" s="285">
        <f>+'5 phase budget'!F40</f>
        <v>500000</v>
      </c>
      <c r="C15" s="285">
        <f>+'5 phase budget'!G40</f>
        <v>500000</v>
      </c>
      <c r="D15" s="285">
        <f>+'5 phase budget'!H40</f>
        <v>500000</v>
      </c>
      <c r="E15" s="285">
        <f>+'5 phase budget'!I40</f>
        <v>500000</v>
      </c>
      <c r="F15" s="285">
        <f>+'5 phase budget'!J40</f>
        <v>0</v>
      </c>
      <c r="G15" s="18">
        <f>SUM(B15:F15)</f>
        <v>2000000</v>
      </c>
      <c r="H15" s="286">
        <f>+G15/G71</f>
        <v>0.008695652174098753</v>
      </c>
      <c r="I15" s="286"/>
    </row>
    <row r="16" spans="1:9" ht="15">
      <c r="A16" s="226" t="s">
        <v>152</v>
      </c>
      <c r="B16" s="285"/>
      <c r="C16" s="285"/>
      <c r="D16" s="285"/>
      <c r="E16" s="285"/>
      <c r="F16" s="285"/>
      <c r="G16" s="18" t="s">
        <v>80</v>
      </c>
      <c r="H16" s="286"/>
      <c r="I16" s="286"/>
    </row>
    <row r="17" spans="1:9" ht="15">
      <c r="A17" s="226" t="s">
        <v>153</v>
      </c>
      <c r="B17" s="17"/>
      <c r="C17" s="17"/>
      <c r="D17" s="17"/>
      <c r="E17" s="17"/>
      <c r="F17" s="17"/>
      <c r="G17" s="17"/>
      <c r="H17" s="286"/>
      <c r="I17" s="286"/>
    </row>
    <row r="18" spans="1:9" ht="15">
      <c r="A18" s="225" t="s">
        <v>154</v>
      </c>
      <c r="B18" s="285">
        <f>+'5 phase budget'!F43</f>
        <v>500000</v>
      </c>
      <c r="C18" s="285">
        <f>+'5 phase budget'!G43</f>
        <v>500000</v>
      </c>
      <c r="D18" s="285">
        <f>+'5 phase budget'!H43</f>
        <v>500000</v>
      </c>
      <c r="E18" s="285">
        <f>+'5 phase budget'!I43</f>
        <v>500000</v>
      </c>
      <c r="F18" s="285">
        <f>+'5 phase budget'!J43</f>
        <v>0</v>
      </c>
      <c r="G18" s="18">
        <f>SUM(B18:F18)</f>
        <v>2000000</v>
      </c>
      <c r="H18" s="286">
        <f>+G18/G71</f>
        <v>0.008695652174098753</v>
      </c>
      <c r="I18" s="286" t="s">
        <v>80</v>
      </c>
    </row>
    <row r="19" spans="1:9" ht="15">
      <c r="A19" s="226" t="s">
        <v>152</v>
      </c>
      <c r="B19" s="285"/>
      <c r="C19" s="18"/>
      <c r="D19" s="18"/>
      <c r="E19" s="18"/>
      <c r="F19" s="18"/>
      <c r="G19" s="18"/>
      <c r="H19" s="286"/>
      <c r="I19" s="286"/>
    </row>
    <row r="20" spans="1:9" ht="15">
      <c r="A20" s="226" t="s">
        <v>153</v>
      </c>
      <c r="B20" s="285"/>
      <c r="C20" s="18"/>
      <c r="D20" s="18"/>
      <c r="E20" s="18"/>
      <c r="F20" s="18"/>
      <c r="G20" s="18"/>
      <c r="H20" s="286"/>
      <c r="I20" s="286"/>
    </row>
    <row r="21" spans="1:9" ht="15">
      <c r="A21" s="226" t="s">
        <v>155</v>
      </c>
      <c r="B21" s="17"/>
      <c r="C21" s="17"/>
      <c r="D21" s="17"/>
      <c r="E21" s="17"/>
      <c r="F21" s="17"/>
      <c r="G21" s="18"/>
      <c r="H21" s="286"/>
      <c r="I21" s="286"/>
    </row>
    <row r="22" spans="1:9" ht="15">
      <c r="A22" s="225" t="s">
        <v>156</v>
      </c>
      <c r="B22" s="18">
        <f>+'5 phase budget'!F47</f>
        <v>750000</v>
      </c>
      <c r="C22" s="18">
        <f>+'5 phase budget'!G47</f>
        <v>250000</v>
      </c>
      <c r="D22" s="18">
        <f>+'5 phase budget'!H47</f>
        <v>500000</v>
      </c>
      <c r="E22" s="18">
        <f>+'5 phase budget'!I47</f>
        <v>250000</v>
      </c>
      <c r="F22" s="18">
        <f>+'5 phase budget'!J47</f>
        <v>250000</v>
      </c>
      <c r="G22" s="18">
        <f>SUM(B22:F22)</f>
        <v>2000000</v>
      </c>
      <c r="H22" s="286">
        <f>+G22/G71</f>
        <v>0.008695652174098753</v>
      </c>
      <c r="I22" s="286"/>
    </row>
    <row r="23" spans="1:9" ht="15">
      <c r="A23" s="225" t="s">
        <v>157</v>
      </c>
      <c r="B23" s="18">
        <f>+'5 phase budget'!F48</f>
        <v>250000</v>
      </c>
      <c r="C23" s="18">
        <f>+'5 phase budget'!G48</f>
        <v>250000</v>
      </c>
      <c r="D23" s="18">
        <f>+'5 phase budget'!H48</f>
        <v>250000</v>
      </c>
      <c r="E23" s="18">
        <f>+'5 phase budget'!I48</f>
        <v>0</v>
      </c>
      <c r="F23" s="18">
        <f>+'5 phase budget'!J48</f>
        <v>0</v>
      </c>
      <c r="G23" s="18">
        <f aca="true" t="shared" si="0" ref="G23:G29">SUM(B23:F23)</f>
        <v>750000</v>
      </c>
      <c r="H23" s="286">
        <f>+G23/G71</f>
        <v>0.003260869565287032</v>
      </c>
      <c r="I23" s="286"/>
    </row>
    <row r="24" spans="1:9" ht="15">
      <c r="A24" s="226" t="s">
        <v>164</v>
      </c>
      <c r="B24" s="285">
        <f>+'5 phase budget'!F65</f>
        <v>50000</v>
      </c>
      <c r="C24" s="285">
        <f>+'5 phase budget'!G65</f>
        <v>50000</v>
      </c>
      <c r="D24" s="285">
        <f>+'5 phase budget'!H65</f>
        <v>50000</v>
      </c>
      <c r="E24" s="285">
        <f>+'5 phase budget'!I65</f>
        <v>0</v>
      </c>
      <c r="F24" s="285">
        <f>+'5 phase budget'!J65</f>
        <v>0</v>
      </c>
      <c r="G24" s="18">
        <f t="shared" si="0"/>
        <v>150000</v>
      </c>
      <c r="H24" s="286">
        <f>+G24/G71</f>
        <v>0.0006521739130574064</v>
      </c>
      <c r="I24" s="286"/>
    </row>
    <row r="25" spans="1:9" ht="15">
      <c r="A25" s="298" t="s">
        <v>515</v>
      </c>
      <c r="B25" s="285">
        <f>+'5 phase budget'!F49</f>
        <v>20175000</v>
      </c>
      <c r="C25" s="285">
        <f>+'5 phase budget'!G49</f>
        <v>34100000</v>
      </c>
      <c r="D25" s="285">
        <f>+'5 phase budget'!H49</f>
        <v>34250000</v>
      </c>
      <c r="E25" s="285">
        <f>+'5 phase budget'!I49</f>
        <v>36750000</v>
      </c>
      <c r="F25" s="285">
        <f>+'5 phase budget'!J49</f>
        <v>37850000</v>
      </c>
      <c r="G25" s="18">
        <f t="shared" si="0"/>
        <v>163125000</v>
      </c>
      <c r="H25" s="286">
        <f>+G25/G71</f>
        <v>0.7092391304499295</v>
      </c>
      <c r="I25" s="286"/>
    </row>
    <row r="26" spans="1:9" ht="15">
      <c r="A26" s="299" t="s">
        <v>629</v>
      </c>
      <c r="B26" s="285"/>
      <c r="C26" s="285"/>
      <c r="D26" s="285"/>
      <c r="E26" s="285"/>
      <c r="F26" s="285"/>
      <c r="G26" s="18"/>
      <c r="H26" s="286"/>
      <c r="I26" s="286"/>
    </row>
    <row r="27" spans="1:9" ht="15">
      <c r="A27" s="226" t="s">
        <v>158</v>
      </c>
      <c r="B27" s="285">
        <f>+'5 phase budget'!F51</f>
        <v>500000</v>
      </c>
      <c r="C27" s="285">
        <f>+'5 phase budget'!G51</f>
        <v>250000</v>
      </c>
      <c r="D27" s="285">
        <f>+'5 phase budget'!H51</f>
        <v>250000</v>
      </c>
      <c r="E27" s="285">
        <f>+'5 phase budget'!I51</f>
        <v>1000000</v>
      </c>
      <c r="F27" s="285">
        <f>+'5 phase budget'!J51</f>
        <v>500000</v>
      </c>
      <c r="G27" s="18">
        <f t="shared" si="0"/>
        <v>2500000</v>
      </c>
      <c r="H27" s="286">
        <f>+G27/G71</f>
        <v>0.01086956521762344</v>
      </c>
      <c r="I27" s="286"/>
    </row>
    <row r="28" spans="1:9" ht="15">
      <c r="A28" s="226" t="s">
        <v>514</v>
      </c>
      <c r="B28" s="285">
        <f>+'5 phase budget'!F52</f>
        <v>4000000</v>
      </c>
      <c r="C28" s="285">
        <f>+'5 phase budget'!G52</f>
        <v>0</v>
      </c>
      <c r="D28" s="285">
        <f>+'5 phase budget'!H52</f>
        <v>0</v>
      </c>
      <c r="E28" s="285">
        <f>+'5 phase budget'!I52</f>
        <v>0</v>
      </c>
      <c r="F28" s="285">
        <f>+'5 phase budget'!J52</f>
        <v>0</v>
      </c>
      <c r="G28" s="18">
        <f t="shared" si="0"/>
        <v>4000000</v>
      </c>
      <c r="H28" s="286">
        <f>+G28/G71</f>
        <v>0.017391304348197505</v>
      </c>
      <c r="I28" s="286"/>
    </row>
    <row r="29" spans="1:9" ht="15.75">
      <c r="A29" s="224" t="s">
        <v>681</v>
      </c>
      <c r="B29" s="285">
        <f>+'5 phase budget'!F53</f>
        <v>6499999.996115703</v>
      </c>
      <c r="C29" s="285">
        <f>+'5 phase budget'!G53</f>
        <v>0</v>
      </c>
      <c r="D29" s="285">
        <f>+'5 phase budget'!H53</f>
        <v>0</v>
      </c>
      <c r="E29" s="285">
        <f>+'5 phase budget'!I53</f>
        <v>0</v>
      </c>
      <c r="F29" s="285">
        <f>+'5 phase budget'!J53</f>
        <v>0</v>
      </c>
      <c r="G29" s="18">
        <f t="shared" si="0"/>
        <v>6499999.996115703</v>
      </c>
      <c r="H29" s="286">
        <f>+G29/G71</f>
        <v>0.028260869548932695</v>
      </c>
      <c r="I29" s="286"/>
    </row>
    <row r="30" spans="1:9" ht="15">
      <c r="A30" s="226" t="s">
        <v>159</v>
      </c>
      <c r="B30" s="285">
        <f>+'5 phase budget'!F57</f>
        <v>1000000</v>
      </c>
      <c r="C30" s="285">
        <f>+'5 phase budget'!G57</f>
        <v>500000</v>
      </c>
      <c r="D30" s="285">
        <f>+'5 phase budget'!H57</f>
        <v>500000</v>
      </c>
      <c r="E30" s="285">
        <f>+'5 phase budget'!I57</f>
        <v>0</v>
      </c>
      <c r="F30" s="285">
        <f>+'5 phase budget'!J57</f>
        <v>0</v>
      </c>
      <c r="G30" s="18">
        <f>SUM(B30:F30)</f>
        <v>2000000</v>
      </c>
      <c r="H30" s="286">
        <f>+G30/G71</f>
        <v>0.008695652174098753</v>
      </c>
      <c r="I30" s="286"/>
    </row>
    <row r="31" spans="1:9" ht="15">
      <c r="A31" s="225" t="s">
        <v>509</v>
      </c>
      <c r="B31" s="285" t="s">
        <v>80</v>
      </c>
      <c r="C31" s="18" t="s">
        <v>80</v>
      </c>
      <c r="D31" s="18" t="s">
        <v>80</v>
      </c>
      <c r="E31" s="18" t="s">
        <v>80</v>
      </c>
      <c r="F31" s="18" t="s">
        <v>80</v>
      </c>
      <c r="G31" s="18" t="s">
        <v>80</v>
      </c>
      <c r="H31" s="286"/>
      <c r="I31" s="286"/>
    </row>
    <row r="32" spans="1:9" ht="15">
      <c r="A32" s="226" t="s">
        <v>583</v>
      </c>
      <c r="B32" s="285">
        <f>+'5 phase budget'!F55</f>
        <v>1000000</v>
      </c>
      <c r="C32" s="285">
        <f>+'5 phase budget'!G55</f>
        <v>500000</v>
      </c>
      <c r="D32" s="285">
        <f>+'5 phase budget'!H55</f>
        <v>500000</v>
      </c>
      <c r="E32" s="285">
        <f>+'5 phase budget'!I55</f>
        <v>500000</v>
      </c>
      <c r="F32" s="285">
        <f>+'5 phase budget'!J55</f>
        <v>500000</v>
      </c>
      <c r="G32" s="18">
        <f>SUM(B32:F32)</f>
        <v>3000000</v>
      </c>
      <c r="H32" s="286">
        <f>+G32/G71</f>
        <v>0.013043478261148128</v>
      </c>
      <c r="I32" s="286"/>
    </row>
    <row r="33" spans="1:9" ht="15">
      <c r="A33" s="226" t="s">
        <v>589</v>
      </c>
      <c r="B33" s="287">
        <f>+'5 phase budget'!F56</f>
        <v>750000</v>
      </c>
      <c r="C33" s="287">
        <f>+'5 phase budget'!G56</f>
        <v>750000</v>
      </c>
      <c r="D33" s="287">
        <f>+'5 phase budget'!H56</f>
        <v>1000000</v>
      </c>
      <c r="E33" s="287">
        <f>+'5 phase budget'!I56</f>
        <v>500000</v>
      </c>
      <c r="F33" s="287">
        <f>+'5 phase budget'!J56</f>
        <v>500000</v>
      </c>
      <c r="G33" s="288">
        <f>SUM(B33:F33)</f>
        <v>3500000</v>
      </c>
      <c r="H33" s="286">
        <f>+G33/G71</f>
        <v>0.015217391304672817</v>
      </c>
      <c r="I33" s="286"/>
    </row>
    <row r="34" spans="1:9" ht="15">
      <c r="A34" s="225"/>
      <c r="B34" s="285"/>
      <c r="C34" s="18"/>
      <c r="D34" s="18"/>
      <c r="E34" s="18"/>
      <c r="F34" s="18"/>
      <c r="G34" s="18"/>
      <c r="H34" s="286"/>
      <c r="I34" s="286"/>
    </row>
    <row r="35" spans="1:10" ht="15">
      <c r="A35" s="225" t="s">
        <v>607</v>
      </c>
      <c r="B35" s="289">
        <f aca="true" t="shared" si="1" ref="B35:G35">SUM(B11:B33)</f>
        <v>38174999.9961157</v>
      </c>
      <c r="C35" s="289">
        <f t="shared" si="1"/>
        <v>39605000</v>
      </c>
      <c r="D35" s="289">
        <f t="shared" si="1"/>
        <v>39510250</v>
      </c>
      <c r="E35" s="289">
        <f t="shared" si="1"/>
        <v>40465762.5</v>
      </c>
      <c r="F35" s="289">
        <f t="shared" si="1"/>
        <v>39821550.625</v>
      </c>
      <c r="G35" s="289">
        <f t="shared" si="1"/>
        <v>197577563.1211157</v>
      </c>
      <c r="H35" s="290">
        <f>+G35/G71</f>
        <v>0.8590328831536316</v>
      </c>
      <c r="I35" s="286">
        <f>SUM(H11:H33)</f>
        <v>0.8590328831536316</v>
      </c>
      <c r="J35" s="10"/>
    </row>
    <row r="36" spans="1:9" ht="15">
      <c r="A36" s="225"/>
      <c r="B36" s="285"/>
      <c r="C36" s="18"/>
      <c r="D36" s="18"/>
      <c r="E36" s="18"/>
      <c r="F36" s="18"/>
      <c r="G36" s="18"/>
      <c r="H36" s="286"/>
      <c r="I36" s="286"/>
    </row>
    <row r="37" spans="1:9" ht="15">
      <c r="A37" s="225" t="s">
        <v>608</v>
      </c>
      <c r="B37" s="285"/>
      <c r="C37" s="18"/>
      <c r="D37" s="18"/>
      <c r="E37" s="18"/>
      <c r="F37" s="18"/>
      <c r="G37" s="18"/>
      <c r="H37" s="286"/>
      <c r="I37" s="286"/>
    </row>
    <row r="38" spans="1:9" ht="15">
      <c r="A38" s="226" t="s">
        <v>160</v>
      </c>
      <c r="B38" s="285">
        <f>+'5 phase budget'!F58</f>
        <v>500000</v>
      </c>
      <c r="C38" s="285">
        <f>+'5 phase budget'!G58</f>
        <v>500000</v>
      </c>
      <c r="D38" s="285">
        <f>+'5 phase budget'!H58</f>
        <v>500000</v>
      </c>
      <c r="E38" s="285">
        <f>+'5 phase budget'!I58</f>
        <v>500000</v>
      </c>
      <c r="F38" s="285">
        <f>+'5 phase budget'!J58</f>
        <v>500000</v>
      </c>
      <c r="G38" s="18">
        <f>SUM(B38:F38)</f>
        <v>2500000</v>
      </c>
      <c r="H38" s="286">
        <f>+G38/G71</f>
        <v>0.01086956521762344</v>
      </c>
      <c r="I38" s="286"/>
    </row>
    <row r="39" spans="1:9" ht="15">
      <c r="A39" s="226" t="s">
        <v>161</v>
      </c>
      <c r="B39" s="285">
        <f>+'5 phase budget'!F59</f>
        <v>500000</v>
      </c>
      <c r="C39" s="285">
        <f>+'5 phase budget'!G59</f>
        <v>500000</v>
      </c>
      <c r="D39" s="285">
        <f>+'5 phase budget'!H59</f>
        <v>500000</v>
      </c>
      <c r="E39" s="285">
        <f>+'5 phase budget'!I59</f>
        <v>500000</v>
      </c>
      <c r="F39" s="285">
        <f>+'5 phase budget'!J59</f>
        <v>500000</v>
      </c>
      <c r="G39" s="18">
        <f>SUM(B39:F39)</f>
        <v>2500000</v>
      </c>
      <c r="H39" s="286">
        <f>+G39/G71</f>
        <v>0.01086956521762344</v>
      </c>
      <c r="I39" s="286"/>
    </row>
    <row r="40" spans="1:9" ht="15">
      <c r="A40" s="226" t="s">
        <v>162</v>
      </c>
      <c r="B40" s="285">
        <f>+'5 phase budget'!F60</f>
        <v>500000</v>
      </c>
      <c r="C40" s="285">
        <f>+'5 phase budget'!G60</f>
        <v>500000</v>
      </c>
      <c r="D40" s="285">
        <f>+'5 phase budget'!H60</f>
        <v>500000</v>
      </c>
      <c r="E40" s="285">
        <f>+'5 phase budget'!I60</f>
        <v>500000</v>
      </c>
      <c r="F40" s="285">
        <f>+'5 phase budget'!J60</f>
        <v>500000</v>
      </c>
      <c r="G40" s="18">
        <f>SUM(B40:F40)</f>
        <v>2500000</v>
      </c>
      <c r="H40" s="286">
        <f>+G40/G71</f>
        <v>0.01086956521762344</v>
      </c>
      <c r="I40" s="286"/>
    </row>
    <row r="41" spans="1:9" ht="15">
      <c r="A41" s="226" t="s">
        <v>165</v>
      </c>
      <c r="B41" s="287">
        <f>+'5 phase budget'!F66</f>
        <v>23639</v>
      </c>
      <c r="C41" s="287">
        <f>+'5 phase budget'!G66</f>
        <v>41520</v>
      </c>
      <c r="D41" s="287">
        <f>+'5 phase budget'!H66</f>
        <v>57368</v>
      </c>
      <c r="E41" s="287">
        <f>+'5 phase budget'!I66</f>
        <v>35410</v>
      </c>
      <c r="F41" s="287">
        <f>+'5 phase budget'!J66</f>
        <v>57353</v>
      </c>
      <c r="G41" s="288">
        <f>SUM(B41:F41)</f>
        <v>215290</v>
      </c>
      <c r="H41" s="286">
        <f>+G41/G71</f>
        <v>0.0009360434782808601</v>
      </c>
      <c r="I41" s="286"/>
    </row>
    <row r="42" spans="1:9" ht="15">
      <c r="A42" s="226"/>
      <c r="B42" s="285"/>
      <c r="C42" s="285"/>
      <c r="D42" s="285"/>
      <c r="E42" s="285"/>
      <c r="F42" s="285"/>
      <c r="G42" s="18"/>
      <c r="H42" s="286"/>
      <c r="I42" s="286"/>
    </row>
    <row r="43" spans="1:10" ht="15">
      <c r="A43" s="225" t="s">
        <v>609</v>
      </c>
      <c r="B43" s="289">
        <f>SUM(B38:B41)</f>
        <v>1523639</v>
      </c>
      <c r="C43" s="289">
        <f>SUM(C38:C41)</f>
        <v>1541520</v>
      </c>
      <c r="D43" s="289">
        <f>SUM(D38:D41)</f>
        <v>1557368</v>
      </c>
      <c r="E43" s="289">
        <f>SUM(E38:E41)</f>
        <v>1535410</v>
      </c>
      <c r="F43" s="289">
        <f>SUM(F38:F41)</f>
        <v>1557353</v>
      </c>
      <c r="G43" s="289">
        <f>SUM(B43:F43)</f>
        <v>7715290</v>
      </c>
      <c r="H43" s="290">
        <f>+G43/G71</f>
        <v>0.03354473913115118</v>
      </c>
      <c r="I43" s="286">
        <f>SUM(H38:H41)</f>
        <v>0.03354473913115118</v>
      </c>
      <c r="J43" s="10"/>
    </row>
    <row r="44" spans="1:9" ht="15">
      <c r="A44" s="225"/>
      <c r="B44" s="289"/>
      <c r="C44" s="289"/>
      <c r="D44" s="289"/>
      <c r="E44" s="289"/>
      <c r="F44" s="289"/>
      <c r="G44" s="289"/>
      <c r="H44" s="286"/>
      <c r="I44" s="286"/>
    </row>
    <row r="45" spans="1:9" ht="15">
      <c r="A45" s="225" t="s">
        <v>87</v>
      </c>
      <c r="B45" s="17"/>
      <c r="C45" s="17"/>
      <c r="D45" s="17"/>
      <c r="E45" s="17"/>
      <c r="F45" s="17"/>
      <c r="G45" s="17"/>
      <c r="H45" s="286"/>
      <c r="I45" s="286"/>
    </row>
    <row r="46" spans="1:9" ht="15">
      <c r="A46" s="226" t="s">
        <v>610</v>
      </c>
      <c r="B46" s="285">
        <f>+'5 phase budget'!F21+'5 phase budget'!F22+'5 phase budget'!F23+'5 phase budget'!F24</f>
        <v>381250</v>
      </c>
      <c r="C46" s="285">
        <f>+'5 phase budget'!G21+'5 phase budget'!G22+'5 phase budget'!G23+'5 phase budget'!G24</f>
        <v>400312.5</v>
      </c>
      <c r="D46" s="285">
        <f>+'5 phase budget'!H21+'5 phase budget'!H22+'5 phase budget'!H23+'5 phase budget'!H24</f>
        <v>420328.125</v>
      </c>
      <c r="E46" s="285">
        <f>+'5 phase budget'!I21+'5 phase budget'!I22+'5 phase budget'!I23+'5 phase budget'!I24</f>
        <v>441344.53125</v>
      </c>
      <c r="F46" s="285">
        <f>+'5 phase budget'!J21+'5 phase budget'!J22+'5 phase budget'!J23+'5 phase budget'!J24</f>
        <v>463411.7578125</v>
      </c>
      <c r="G46" s="18">
        <f>SUM(B46:F46)</f>
        <v>2106646.9140625</v>
      </c>
      <c r="H46" s="286">
        <f>+G46/G71</f>
        <v>0.009159334409163002</v>
      </c>
      <c r="I46" s="286"/>
    </row>
    <row r="47" spans="1:9" ht="15">
      <c r="A47" s="4" t="s">
        <v>539</v>
      </c>
      <c r="B47" s="285">
        <f>+'5 phase budget'!F26</f>
        <v>100000</v>
      </c>
      <c r="C47" s="285">
        <f>+'5 phase budget'!G26</f>
        <v>100000</v>
      </c>
      <c r="D47" s="285">
        <f>+'5 phase budget'!H26</f>
        <v>100000</v>
      </c>
      <c r="E47" s="285">
        <f>+'5 phase budget'!I26</f>
        <v>100000</v>
      </c>
      <c r="F47" s="285">
        <f>+'5 phase budget'!J26</f>
        <v>100000</v>
      </c>
      <c r="G47" s="18">
        <f>SUM(B47:F47)</f>
        <v>500000</v>
      </c>
      <c r="H47" s="286">
        <f>+G47/G71</f>
        <v>0.002173913043524688</v>
      </c>
      <c r="I47" s="286"/>
    </row>
    <row r="48" spans="1:9" ht="15">
      <c r="A48" s="226" t="s">
        <v>630</v>
      </c>
      <c r="B48" s="285">
        <f>+'5 phase budget'!F29+'5 phase budget'!F30+'5 phase budget'!F31+'5 phase budget'!F34+'5 phase budget'!F35+'5 phase budget'!F36+'5 phase budget'!F32</f>
        <v>1206250</v>
      </c>
      <c r="C48" s="285">
        <f>+'5 phase budget'!G29+'5 phase budget'!G30+'5 phase budget'!G31+'5 phase budget'!G34+'5 phase budget'!G35+'5 phase budget'!G36+'5 phase budget'!G32</f>
        <v>1264062.5</v>
      </c>
      <c r="D48" s="285">
        <f>+'5 phase budget'!H29+'5 phase budget'!H30+'5 phase budget'!H31+'5 phase budget'!H34+'5 phase budget'!H35+'5 phase budget'!H36+'5 phase budget'!H32</f>
        <v>1324765.625</v>
      </c>
      <c r="E48" s="285">
        <f>+'5 phase budget'!I29+'5 phase budget'!I30+'5 phase budget'!I31+'5 phase budget'!I34+'5 phase budget'!I35+'5 phase budget'!I36+'5 phase budget'!I32</f>
        <v>1388503.90625</v>
      </c>
      <c r="F48" s="285">
        <f>+'5 phase budget'!J29+'5 phase budget'!J30+'5 phase budget'!J31+'5 phase budget'!J34+'5 phase budget'!J35+'5 phase budget'!J36+'5 phase budget'!J32</f>
        <v>1455429.1015625</v>
      </c>
      <c r="G48" s="18">
        <f>SUM(B48:F48)</f>
        <v>6639011.1328125</v>
      </c>
      <c r="H48" s="286">
        <f>+G48/G71</f>
        <v>0.028865265795453416</v>
      </c>
      <c r="I48" s="286"/>
    </row>
    <row r="49" spans="1:9" ht="15">
      <c r="A49" s="4" t="s">
        <v>631</v>
      </c>
      <c r="B49" s="287">
        <f>+'5 phase budget'!F108+'5 phase budget'!F109+'5 phase budget'!F110+'5 phase budget'!F111+'5 phase budget'!F112</f>
        <v>565900</v>
      </c>
      <c r="C49" s="287">
        <f>+'5 phase budget'!G108+'5 phase budget'!G109+'5 phase budget'!G110+'5 phase budget'!G111+'5 phase budget'!G112</f>
        <v>593445</v>
      </c>
      <c r="D49" s="287">
        <f>+'5 phase budget'!H108+'5 phase budget'!H109+'5 phase budget'!H110+'5 phase budget'!H111+'5 phase budget'!H112</f>
        <v>622367.2500000001</v>
      </c>
      <c r="E49" s="287">
        <f>+'5 phase budget'!I108+'5 phase budget'!I109+'5 phase budget'!I110+'5 phase budget'!I111+'5 phase budget'!I112</f>
        <v>652735.6124999998</v>
      </c>
      <c r="F49" s="287">
        <f>+'5 phase budget'!J108+'5 phase budget'!J109+'5 phase budget'!J110+'5 phase budget'!J111+'5 phase budget'!J112</f>
        <v>684622.3931249998</v>
      </c>
      <c r="G49" s="288">
        <f>SUM(B49:F49)</f>
        <v>3119070.2556249998</v>
      </c>
      <c r="H49" s="286">
        <f>+G49/G71</f>
        <v>0.013561175024746139</v>
      </c>
      <c r="I49" s="286"/>
    </row>
    <row r="50" spans="1:9" ht="15">
      <c r="A50" s="226"/>
      <c r="B50" s="285"/>
      <c r="C50" s="285"/>
      <c r="D50" s="285"/>
      <c r="E50" s="285"/>
      <c r="F50" s="285"/>
      <c r="G50" s="285"/>
      <c r="H50" s="286"/>
      <c r="I50" s="286"/>
    </row>
    <row r="51" spans="1:10" ht="15">
      <c r="A51" s="225" t="s">
        <v>611</v>
      </c>
      <c r="B51" s="289">
        <f>SUM(B46:B49)</f>
        <v>2253400</v>
      </c>
      <c r="C51" s="289">
        <f>SUM(C46:C49)</f>
        <v>2357820</v>
      </c>
      <c r="D51" s="289">
        <f>SUM(D46:D49)</f>
        <v>2467461</v>
      </c>
      <c r="E51" s="289">
        <f>SUM(E46:E49)</f>
        <v>2582584.05</v>
      </c>
      <c r="F51" s="289">
        <f>SUM(F46:F49)</f>
        <v>2703463.2525</v>
      </c>
      <c r="G51" s="289">
        <f>SUM(B51:F51)</f>
        <v>12364728.3025</v>
      </c>
      <c r="H51" s="290">
        <f>+G51/G71</f>
        <v>0.05375968827288725</v>
      </c>
      <c r="I51" s="286">
        <f>SUM(H46:H49)</f>
        <v>0.05375968827288725</v>
      </c>
      <c r="J51" s="10"/>
    </row>
    <row r="52" spans="1:9" ht="15">
      <c r="A52" s="225"/>
      <c r="B52" s="289"/>
      <c r="C52" s="289"/>
      <c r="D52" s="289"/>
      <c r="E52" s="289"/>
      <c r="F52" s="289"/>
      <c r="G52" s="289"/>
      <c r="H52" s="286"/>
      <c r="I52" s="286"/>
    </row>
    <row r="53" spans="1:9" ht="15">
      <c r="A53" s="225" t="s">
        <v>433</v>
      </c>
      <c r="B53" s="285"/>
      <c r="C53" s="285"/>
      <c r="D53" s="285"/>
      <c r="E53" s="285"/>
      <c r="F53" s="285"/>
      <c r="G53" s="285"/>
      <c r="H53" s="286"/>
      <c r="I53" s="286"/>
    </row>
    <row r="54" spans="1:9" ht="15">
      <c r="A54" s="226" t="s">
        <v>592</v>
      </c>
      <c r="B54" s="285">
        <f>+'5 phase budget'!F61</f>
        <v>750000</v>
      </c>
      <c r="C54" s="285">
        <f>+'5 phase budget'!G61</f>
        <v>250000</v>
      </c>
      <c r="D54" s="285">
        <f>+'5 phase budget'!H61</f>
        <v>250000</v>
      </c>
      <c r="E54" s="285">
        <f>+'5 phase budget'!I61</f>
        <v>250000</v>
      </c>
      <c r="F54" s="285">
        <f>+'5 phase budget'!J61</f>
        <v>250000</v>
      </c>
      <c r="G54" s="18">
        <f aca="true" t="shared" si="2" ref="G54:G61">SUM(B54:F54)</f>
        <v>1750000</v>
      </c>
      <c r="H54" s="286">
        <f>+G54/G71</f>
        <v>0.007608695652336408</v>
      </c>
      <c r="I54" s="286"/>
    </row>
    <row r="55" spans="1:9" ht="15">
      <c r="A55" s="226" t="s">
        <v>149</v>
      </c>
      <c r="B55" s="285">
        <f>+'5 phase budget'!F38</f>
        <v>1000000</v>
      </c>
      <c r="C55" s="285">
        <f>+'5 phase budget'!G38</f>
        <v>500000</v>
      </c>
      <c r="D55" s="285">
        <f>+'5 phase budget'!H38</f>
        <v>500000</v>
      </c>
      <c r="E55" s="285">
        <f>+'5 phase budget'!I38</f>
        <v>0</v>
      </c>
      <c r="F55" s="285">
        <f>+'5 phase budget'!J38</f>
        <v>500000</v>
      </c>
      <c r="G55" s="18">
        <f t="shared" si="2"/>
        <v>2500000</v>
      </c>
      <c r="H55" s="286">
        <f>+G55/G71</f>
        <v>0.01086956521762344</v>
      </c>
      <c r="I55" s="286"/>
    </row>
    <row r="56" spans="1:9" ht="15">
      <c r="A56" s="226" t="s">
        <v>150</v>
      </c>
      <c r="B56" s="285">
        <f>+'5 phase budget'!F39</f>
        <v>1000000</v>
      </c>
      <c r="C56" s="285">
        <f>+'5 phase budget'!G39</f>
        <v>500000</v>
      </c>
      <c r="D56" s="285">
        <f>+'5 phase budget'!H39</f>
        <v>500000</v>
      </c>
      <c r="E56" s="285">
        <f>+'5 phase budget'!I39</f>
        <v>0</v>
      </c>
      <c r="F56" s="285">
        <f>+'5 phase budget'!J39</f>
        <v>0</v>
      </c>
      <c r="G56" s="18">
        <f t="shared" si="2"/>
        <v>2000000</v>
      </c>
      <c r="H56" s="286">
        <f>+G56/G71</f>
        <v>0.008695652174098753</v>
      </c>
      <c r="I56" s="286"/>
    </row>
    <row r="57" spans="1:9" ht="15">
      <c r="A57" s="226" t="s">
        <v>612</v>
      </c>
      <c r="B57" s="285">
        <f>+'5 phase budget'!F115+'5 phase budget'!F116+'5 phase budget'!F117+'5 phase budget'!F118</f>
        <v>128000</v>
      </c>
      <c r="C57" s="285">
        <f>+'5 phase budget'!G115+'5 phase budget'!G116+'5 phase budget'!G117+'5 phase budget'!G118</f>
        <v>128000</v>
      </c>
      <c r="D57" s="285">
        <f>+'5 phase budget'!H115+'5 phase budget'!H116+'5 phase budget'!H117+'5 phase budget'!H118</f>
        <v>128000</v>
      </c>
      <c r="E57" s="285">
        <f>+'5 phase budget'!I115+'5 phase budget'!I116+'5 phase budget'!I117+'5 phase budget'!I118</f>
        <v>128000</v>
      </c>
      <c r="F57" s="285">
        <f>+'5 phase budget'!J115+'5 phase budget'!J116+'5 phase budget'!J117+'5 phase budget'!J118</f>
        <v>128000</v>
      </c>
      <c r="G57" s="18">
        <f t="shared" si="2"/>
        <v>640000</v>
      </c>
      <c r="H57" s="286">
        <f>+G57/G71</f>
        <v>0.0027826086957116005</v>
      </c>
      <c r="I57" s="286"/>
    </row>
    <row r="58" spans="1:9" ht="15">
      <c r="A58" s="226" t="s">
        <v>613</v>
      </c>
      <c r="B58" s="285">
        <f>+'5 phase budget'!F119+'5 phase budget'!F120</f>
        <v>155000</v>
      </c>
      <c r="C58" s="285">
        <f>+'5 phase budget'!G119+'5 phase budget'!G120</f>
        <v>105000</v>
      </c>
      <c r="D58" s="285">
        <f>+'5 phase budget'!H119+'5 phase budget'!H120</f>
        <v>80000</v>
      </c>
      <c r="E58" s="285">
        <f>+'5 phase budget'!I119+'5 phase budget'!I120</f>
        <v>30000</v>
      </c>
      <c r="F58" s="285">
        <f>+'5 phase budget'!J119+'5 phase budget'!J120</f>
        <v>30000</v>
      </c>
      <c r="G58" s="18">
        <f t="shared" si="2"/>
        <v>400000</v>
      </c>
      <c r="H58" s="286">
        <f>+G58/G71</f>
        <v>0.0017391304348197505</v>
      </c>
      <c r="I58" s="286"/>
    </row>
    <row r="59" spans="1:9" ht="15">
      <c r="A59" s="226" t="s">
        <v>614</v>
      </c>
      <c r="B59" s="285">
        <f>+'5 phase budget'!F121+'5 phase budget'!F122+'5 phase budget'!F123</f>
        <v>15500</v>
      </c>
      <c r="C59" s="285">
        <f>+'5 phase budget'!G121+'5 phase budget'!G122+'5 phase budget'!G123</f>
        <v>14000</v>
      </c>
      <c r="D59" s="285">
        <f>+'5 phase budget'!H121+'5 phase budget'!H122+'5 phase budget'!H123</f>
        <v>14000</v>
      </c>
      <c r="E59" s="285">
        <f>+'5 phase budget'!I121+'5 phase budget'!I122+'5 phase budget'!I123</f>
        <v>14000</v>
      </c>
      <c r="F59" s="285">
        <f>+'5 phase budget'!J121+'5 phase budget'!J122+'5 phase budget'!J123</f>
        <v>14000</v>
      </c>
      <c r="G59" s="18">
        <f t="shared" si="2"/>
        <v>71500</v>
      </c>
      <c r="H59" s="286">
        <f>+G59/G71</f>
        <v>0.00031086956522403036</v>
      </c>
      <c r="I59" s="286"/>
    </row>
    <row r="60" spans="1:9" ht="15">
      <c r="A60" s="226" t="s">
        <v>615</v>
      </c>
      <c r="B60" s="285">
        <f>+'5 phase budget'!F64</f>
        <v>24000</v>
      </c>
      <c r="C60" s="285">
        <f>+'5 phase budget'!G64</f>
        <v>25200</v>
      </c>
      <c r="D60" s="285">
        <f>+'5 phase budget'!H64</f>
        <v>26460</v>
      </c>
      <c r="E60" s="285">
        <f>+'5 phase budget'!I64</f>
        <v>27783</v>
      </c>
      <c r="F60" s="285">
        <f>+'5 phase budget'!J64</f>
        <v>29172.15</v>
      </c>
      <c r="G60" s="18">
        <f t="shared" si="2"/>
        <v>132615.15</v>
      </c>
      <c r="H60" s="286">
        <f>+G60/G71</f>
        <v>0.000576587608707966</v>
      </c>
      <c r="I60" s="286"/>
    </row>
    <row r="61" spans="1:9" ht="15">
      <c r="A61" s="226" t="s">
        <v>616</v>
      </c>
      <c r="B61" s="287">
        <f>SUM('5 phase budget'!F124:F132)</f>
        <v>73500</v>
      </c>
      <c r="C61" s="287">
        <f>SUM('5 phase budget'!G124:G132)</f>
        <v>71500</v>
      </c>
      <c r="D61" s="287">
        <f>SUM('5 phase budget'!H124:H132)</f>
        <v>64500</v>
      </c>
      <c r="E61" s="287">
        <f>SUM('5 phase budget'!I124:I132)</f>
        <v>64500</v>
      </c>
      <c r="F61" s="287">
        <f>SUM('5 phase budget'!J124:J132)</f>
        <v>64500</v>
      </c>
      <c r="G61" s="288">
        <f t="shared" si="2"/>
        <v>338500</v>
      </c>
      <c r="H61" s="286">
        <f>+G61/G71</f>
        <v>0.0014717391304662137</v>
      </c>
      <c r="I61" s="286"/>
    </row>
    <row r="62" spans="1:9" ht="15">
      <c r="A62" s="226"/>
      <c r="B62" s="285"/>
      <c r="C62" s="285"/>
      <c r="D62" s="285"/>
      <c r="E62" s="285"/>
      <c r="F62" s="285"/>
      <c r="G62" s="285"/>
      <c r="H62" s="286" t="s">
        <v>80</v>
      </c>
      <c r="I62" s="286"/>
    </row>
    <row r="63" spans="1:10" ht="15">
      <c r="A63" s="225" t="s">
        <v>617</v>
      </c>
      <c r="B63" s="289">
        <f>SUM(B54:B61)</f>
        <v>3146000</v>
      </c>
      <c r="C63" s="289">
        <f>SUM(C54:C61)</f>
        <v>1593700</v>
      </c>
      <c r="D63" s="289">
        <f>SUM(D54:D61)</f>
        <v>1562960</v>
      </c>
      <c r="E63" s="289">
        <f>SUM(E54:E61)</f>
        <v>514283</v>
      </c>
      <c r="F63" s="289">
        <f>SUM(F54:F61)</f>
        <v>1015672.15</v>
      </c>
      <c r="G63" s="289">
        <f>SUM(B63:F63)</f>
        <v>7832615.15</v>
      </c>
      <c r="H63" s="290">
        <f>+G63/G71</f>
        <v>0.03405484847898816</v>
      </c>
      <c r="I63" s="286">
        <f>SUM(H54:H61)</f>
        <v>0.03405484847898817</v>
      </c>
      <c r="J63" s="10"/>
    </row>
    <row r="64" spans="1:9" ht="15">
      <c r="A64" s="225"/>
      <c r="B64" s="289"/>
      <c r="C64" s="289"/>
      <c r="D64" s="289"/>
      <c r="E64" s="289"/>
      <c r="F64" s="289"/>
      <c r="G64" s="289"/>
      <c r="H64" s="286"/>
      <c r="I64" s="286"/>
    </row>
    <row r="65" spans="1:10" ht="15">
      <c r="A65" s="291" t="s">
        <v>618</v>
      </c>
      <c r="B65" s="292">
        <f>+B63+B51+B43+B35</f>
        <v>45098038.9961157</v>
      </c>
      <c r="C65" s="292">
        <f>+C63+C51+C43+C35</f>
        <v>45098040</v>
      </c>
      <c r="D65" s="292">
        <f>+D63+D51+D43+D35</f>
        <v>45098039</v>
      </c>
      <c r="E65" s="292">
        <f>+E63+E51+E43+E35</f>
        <v>45098039.55</v>
      </c>
      <c r="F65" s="292">
        <f>+F63+F51+F43+F35</f>
        <v>45098039.0275</v>
      </c>
      <c r="G65" s="292">
        <f>SUM(B65:F65)</f>
        <v>225490196.5736157</v>
      </c>
      <c r="H65" s="290">
        <f>+G65/G71</f>
        <v>0.9803921590366581</v>
      </c>
      <c r="I65" s="286">
        <f>+H35+H43+H51+H63</f>
        <v>0.9803921590366582</v>
      </c>
      <c r="J65" s="10"/>
    </row>
    <row r="66" spans="1:9" ht="15">
      <c r="A66" s="17"/>
      <c r="B66" s="17"/>
      <c r="C66" s="17"/>
      <c r="D66" s="17"/>
      <c r="E66" s="17"/>
      <c r="F66" s="17"/>
      <c r="G66" s="17"/>
      <c r="H66" s="286"/>
      <c r="I66" s="286"/>
    </row>
    <row r="67" spans="1:10" ht="15.75">
      <c r="A67" s="293" t="s">
        <v>198</v>
      </c>
      <c r="B67" s="294">
        <f>+B65*0.02+0.22</f>
        <v>901960.999922314</v>
      </c>
      <c r="C67" s="294">
        <f>+C65*0.02-0.8</f>
        <v>901960</v>
      </c>
      <c r="D67" s="294">
        <f>+D65*0.02+0.22</f>
        <v>901961</v>
      </c>
      <c r="E67" s="294">
        <f>+E65*0.02-0.34</f>
        <v>901960.451</v>
      </c>
      <c r="F67" s="294">
        <f>+F65*0.02+0.19</f>
        <v>901960.9705500001</v>
      </c>
      <c r="G67" s="18">
        <f>SUM(B67:F67)</f>
        <v>4509803.421472314</v>
      </c>
      <c r="H67" s="290">
        <f>+G67/G71</f>
        <v>0.01960784096334186</v>
      </c>
      <c r="I67" s="286"/>
      <c r="J67" s="10"/>
    </row>
    <row r="68" spans="1:9" ht="15">
      <c r="A68" s="226" t="s">
        <v>199</v>
      </c>
      <c r="B68" s="285">
        <v>0</v>
      </c>
      <c r="C68" s="285">
        <v>-200000</v>
      </c>
      <c r="D68" s="285">
        <v>-300000</v>
      </c>
      <c r="E68" s="285">
        <v>-425000</v>
      </c>
      <c r="F68" s="285">
        <v>-450000</v>
      </c>
      <c r="G68" s="18">
        <f>SUM(B68:F68)</f>
        <v>-1375000</v>
      </c>
      <c r="H68" s="295"/>
      <c r="I68" s="17"/>
    </row>
    <row r="69" spans="1:9" ht="15">
      <c r="A69" s="226" t="s">
        <v>200</v>
      </c>
      <c r="B69" s="288">
        <f aca="true" t="shared" si="3" ref="B69:G69">SUM(B67:B68)</f>
        <v>901960.999922314</v>
      </c>
      <c r="C69" s="288">
        <f t="shared" si="3"/>
        <v>701960</v>
      </c>
      <c r="D69" s="288">
        <f t="shared" si="3"/>
        <v>601961</v>
      </c>
      <c r="E69" s="288">
        <f t="shared" si="3"/>
        <v>476960.451</v>
      </c>
      <c r="F69" s="288">
        <f t="shared" si="3"/>
        <v>451960.9705500001</v>
      </c>
      <c r="G69" s="288">
        <f t="shared" si="3"/>
        <v>3134803.421472314</v>
      </c>
      <c r="H69" s="295"/>
      <c r="I69" s="17"/>
    </row>
    <row r="70" spans="1:9" ht="15">
      <c r="A70" s="226"/>
      <c r="B70" s="16"/>
      <c r="C70" s="16"/>
      <c r="D70" s="16"/>
      <c r="E70" s="16"/>
      <c r="F70" s="16"/>
      <c r="G70" s="16"/>
      <c r="H70" s="295"/>
      <c r="I70" s="17"/>
    </row>
    <row r="71" spans="1:9" ht="16.5" thickBot="1">
      <c r="A71" s="207" t="s">
        <v>72</v>
      </c>
      <c r="B71" s="296">
        <f>+B65+B67</f>
        <v>45999999.99603801</v>
      </c>
      <c r="C71" s="296">
        <f>+C65+C67</f>
        <v>46000000</v>
      </c>
      <c r="D71" s="296">
        <f>+D65+D67</f>
        <v>46000000</v>
      </c>
      <c r="E71" s="296">
        <f>+E65+E67</f>
        <v>46000000.000999995</v>
      </c>
      <c r="F71" s="296">
        <f>+F65+F67</f>
        <v>45999999.998050004</v>
      </c>
      <c r="G71" s="296">
        <f>SUM(B71:F71)</f>
        <v>229999999.995088</v>
      </c>
      <c r="H71" s="286">
        <f>+H65+H67</f>
        <v>1</v>
      </c>
      <c r="I71" s="17"/>
    </row>
    <row r="72" spans="1:9" ht="15.75" thickTop="1">
      <c r="A72" s="17"/>
      <c r="B72" s="17"/>
      <c r="C72" s="17"/>
      <c r="D72" s="17"/>
      <c r="E72" s="17"/>
      <c r="F72" s="17"/>
      <c r="G72" s="18"/>
      <c r="H72" s="17"/>
      <c r="I72" s="17"/>
    </row>
    <row r="75" spans="2:7" ht="15">
      <c r="B75" s="308"/>
      <c r="C75" s="308"/>
      <c r="D75" s="308"/>
      <c r="E75" s="308"/>
      <c r="F75" s="308"/>
      <c r="G75" s="308"/>
    </row>
  </sheetData>
  <sheetProtection/>
  <printOptions/>
  <pageMargins left="0.28" right="0.5" top="0.25" bottom="0.25" header="0.3" footer="0.3"/>
  <pageSetup horizontalDpi="600" verticalDpi="600" orientation="landscape" scale="50" r:id="rId1"/>
</worksheet>
</file>

<file path=xl/worksheets/sheet4.xml><?xml version="1.0" encoding="utf-8"?>
<worksheet xmlns="http://schemas.openxmlformats.org/spreadsheetml/2006/main" xmlns:r="http://schemas.openxmlformats.org/officeDocument/2006/relationships">
  <dimension ref="A1:N164"/>
  <sheetViews>
    <sheetView view="pageBreakPreview" zoomScale="60" zoomScalePageLayoutView="0" workbookViewId="0" topLeftCell="A80">
      <selection activeCell="A1" sqref="A1:L164"/>
    </sheetView>
  </sheetViews>
  <sheetFormatPr defaultColWidth="9.140625" defaultRowHeight="15"/>
  <cols>
    <col min="1" max="1" width="4.140625" style="0" customWidth="1"/>
    <col min="2" max="2" width="4.00390625" style="0" customWidth="1"/>
    <col min="3" max="3" width="3.8515625" style="0" customWidth="1"/>
    <col min="4" max="4" width="99.140625" style="0" customWidth="1"/>
    <col min="5" max="5" width="18.421875" style="0" customWidth="1"/>
    <col min="6" max="6" width="19.421875" style="0" customWidth="1"/>
    <col min="7" max="7" width="19.7109375" style="0" customWidth="1"/>
    <col min="8" max="8" width="20.28125" style="0" customWidth="1"/>
    <col min="9" max="9" width="19.8515625" style="0" customWidth="1"/>
    <col min="10" max="10" width="20.00390625" style="0" customWidth="1"/>
    <col min="11" max="11" width="21.57421875" style="0" customWidth="1"/>
    <col min="12" max="12" width="16.8515625" style="0" customWidth="1"/>
    <col min="13" max="13" width="16.8515625" style="0" bestFit="1" customWidth="1"/>
    <col min="14" max="14" width="16.7109375" style="0" customWidth="1"/>
  </cols>
  <sheetData>
    <row r="1" ht="20.25">
      <c r="A1" s="1" t="s">
        <v>0</v>
      </c>
    </row>
    <row r="2" ht="20.25">
      <c r="A2" s="1" t="s">
        <v>3</v>
      </c>
    </row>
    <row r="3" ht="20.25">
      <c r="A3" s="1" t="s">
        <v>1</v>
      </c>
    </row>
    <row r="4" ht="20.25">
      <c r="A4" s="1" t="s">
        <v>565</v>
      </c>
    </row>
    <row r="5" ht="20.25">
      <c r="A5" s="1" t="s">
        <v>566</v>
      </c>
    </row>
    <row r="6" ht="20.25">
      <c r="A6" s="1"/>
    </row>
    <row r="7" spans="1:4" ht="20.25">
      <c r="A7" s="170" t="s">
        <v>627</v>
      </c>
      <c r="B7" s="123"/>
      <c r="C7" s="123"/>
      <c r="D7" s="123"/>
    </row>
    <row r="8" ht="20.25">
      <c r="A8" s="1"/>
    </row>
    <row r="9" spans="5:10" ht="15">
      <c r="E9" s="50"/>
      <c r="F9" s="50" t="s">
        <v>201</v>
      </c>
      <c r="G9" s="50" t="s">
        <v>202</v>
      </c>
      <c r="H9" s="50" t="s">
        <v>203</v>
      </c>
      <c r="I9" s="50" t="s">
        <v>204</v>
      </c>
      <c r="J9" s="50" t="s">
        <v>205</v>
      </c>
    </row>
    <row r="10" spans="5:11" ht="15">
      <c r="E10" s="50" t="s">
        <v>206</v>
      </c>
      <c r="F10" s="50" t="s">
        <v>207</v>
      </c>
      <c r="G10" s="50" t="s">
        <v>208</v>
      </c>
      <c r="H10" s="50" t="s">
        <v>209</v>
      </c>
      <c r="I10" s="50" t="s">
        <v>210</v>
      </c>
      <c r="J10" s="50" t="s">
        <v>211</v>
      </c>
      <c r="K10" s="50" t="s">
        <v>212</v>
      </c>
    </row>
    <row r="11" spans="1:12" ht="15">
      <c r="A11" s="4">
        <v>1</v>
      </c>
      <c r="B11" s="4"/>
      <c r="C11" s="4"/>
      <c r="D11" s="4" t="s">
        <v>540</v>
      </c>
      <c r="E11" s="40">
        <f>500000*3</f>
        <v>1500000</v>
      </c>
      <c r="F11" s="9">
        <v>750000</v>
      </c>
      <c r="G11" s="10">
        <v>750000</v>
      </c>
      <c r="H11" s="10">
        <v>0</v>
      </c>
      <c r="I11" s="10">
        <v>0</v>
      </c>
      <c r="J11" s="10">
        <v>0</v>
      </c>
      <c r="K11" s="10">
        <f>SUM(F11:J11)</f>
        <v>1500000</v>
      </c>
      <c r="L11" s="10">
        <f>375000*4</f>
        <v>1500000</v>
      </c>
    </row>
    <row r="12" spans="1:12" ht="15">
      <c r="A12" s="4">
        <v>2</v>
      </c>
      <c r="B12" s="4"/>
      <c r="C12" s="4"/>
      <c r="D12" s="4" t="s">
        <v>121</v>
      </c>
      <c r="E12" s="40">
        <v>1500000</v>
      </c>
      <c r="F12" s="9">
        <v>500000</v>
      </c>
      <c r="G12" s="10">
        <v>500000</v>
      </c>
      <c r="H12" s="10">
        <v>500000</v>
      </c>
      <c r="I12" s="10">
        <v>0</v>
      </c>
      <c r="J12" s="10">
        <v>0</v>
      </c>
      <c r="K12" s="10">
        <f>SUM(F12:J12)</f>
        <v>1500000</v>
      </c>
      <c r="L12" s="10"/>
    </row>
    <row r="13" spans="1:12" ht="15">
      <c r="A13" s="4">
        <v>3</v>
      </c>
      <c r="B13" s="4"/>
      <c r="C13" s="4"/>
      <c r="D13" s="4" t="s">
        <v>122</v>
      </c>
      <c r="E13" s="40">
        <v>2000000</v>
      </c>
      <c r="F13" s="9">
        <v>750000</v>
      </c>
      <c r="G13" s="10">
        <v>500000</v>
      </c>
      <c r="H13" s="10">
        <v>500000</v>
      </c>
      <c r="I13" s="10">
        <v>250000</v>
      </c>
      <c r="J13" s="10"/>
      <c r="K13" s="10">
        <f>SUM(F13:J13)</f>
        <v>2000000</v>
      </c>
      <c r="L13" s="10"/>
    </row>
    <row r="14" spans="1:12" ht="15">
      <c r="A14" s="4">
        <v>4</v>
      </c>
      <c r="B14" s="4"/>
      <c r="C14" s="4"/>
      <c r="D14" s="4" t="s">
        <v>123</v>
      </c>
      <c r="E14" s="40"/>
      <c r="F14" s="9"/>
      <c r="G14" s="10"/>
      <c r="H14" s="10"/>
      <c r="I14" s="10"/>
      <c r="J14" s="10"/>
      <c r="K14" s="10"/>
      <c r="L14" s="10"/>
    </row>
    <row r="15" spans="1:12" ht="15">
      <c r="A15" s="4" t="s">
        <v>80</v>
      </c>
      <c r="B15" s="4" t="s">
        <v>124</v>
      </c>
      <c r="C15" s="4"/>
      <c r="D15" s="4" t="s">
        <v>125</v>
      </c>
      <c r="E15" s="9">
        <f>3600*36</f>
        <v>129600</v>
      </c>
      <c r="F15" s="9">
        <v>140000</v>
      </c>
      <c r="G15" s="10">
        <f aca="true" t="shared" si="0" ref="G15:J20">+F15*1.05</f>
        <v>147000</v>
      </c>
      <c r="H15" s="10">
        <f t="shared" si="0"/>
        <v>154350</v>
      </c>
      <c r="I15" s="10">
        <f t="shared" si="0"/>
        <v>162067.5</v>
      </c>
      <c r="J15" s="10">
        <f t="shared" si="0"/>
        <v>170170.875</v>
      </c>
      <c r="K15" s="10">
        <f aca="true" t="shared" si="1" ref="K15:K53">SUM(F15:J15)</f>
        <v>773588.375</v>
      </c>
      <c r="L15" s="10"/>
    </row>
    <row r="16" spans="1:12" ht="15">
      <c r="A16" s="4"/>
      <c r="B16" s="4" t="s">
        <v>126</v>
      </c>
      <c r="C16" s="4"/>
      <c r="D16" s="4" t="s">
        <v>127</v>
      </c>
      <c r="E16" s="9">
        <f>2400*36</f>
        <v>86400</v>
      </c>
      <c r="F16" s="9">
        <v>90000</v>
      </c>
      <c r="G16" s="10">
        <f t="shared" si="0"/>
        <v>94500</v>
      </c>
      <c r="H16" s="10">
        <f t="shared" si="0"/>
        <v>99225</v>
      </c>
      <c r="I16" s="10">
        <f t="shared" si="0"/>
        <v>104186.25</v>
      </c>
      <c r="J16" s="10">
        <f t="shared" si="0"/>
        <v>109395.5625</v>
      </c>
      <c r="K16" s="10">
        <f t="shared" si="1"/>
        <v>497306.8125</v>
      </c>
      <c r="L16" s="10"/>
    </row>
    <row r="17" spans="1:12" ht="15">
      <c r="A17" s="4"/>
      <c r="B17" s="4" t="s">
        <v>128</v>
      </c>
      <c r="C17" s="4"/>
      <c r="D17" s="4" t="s">
        <v>129</v>
      </c>
      <c r="E17" s="9">
        <f>550*12*3</f>
        <v>19800</v>
      </c>
      <c r="F17" s="9">
        <v>25000</v>
      </c>
      <c r="G17" s="10">
        <f t="shared" si="0"/>
        <v>26250</v>
      </c>
      <c r="H17" s="10">
        <f t="shared" si="0"/>
        <v>27562.5</v>
      </c>
      <c r="I17" s="10">
        <f t="shared" si="0"/>
        <v>28940.625</v>
      </c>
      <c r="J17" s="10">
        <f t="shared" si="0"/>
        <v>30387.65625</v>
      </c>
      <c r="K17" s="10">
        <f t="shared" si="1"/>
        <v>138140.78125</v>
      </c>
      <c r="L17" s="10"/>
    </row>
    <row r="18" spans="1:12" ht="15">
      <c r="A18" s="4"/>
      <c r="B18" s="4" t="s">
        <v>130</v>
      </c>
      <c r="C18" s="4"/>
      <c r="D18" s="4" t="s">
        <v>131</v>
      </c>
      <c r="E18" s="9">
        <f>450*12*3</f>
        <v>16200</v>
      </c>
      <c r="F18" s="9">
        <v>20000</v>
      </c>
      <c r="G18" s="10">
        <f t="shared" si="0"/>
        <v>21000</v>
      </c>
      <c r="H18" s="10">
        <f t="shared" si="0"/>
        <v>22050</v>
      </c>
      <c r="I18" s="10">
        <f t="shared" si="0"/>
        <v>23152.5</v>
      </c>
      <c r="J18" s="10">
        <f t="shared" si="0"/>
        <v>24310.125</v>
      </c>
      <c r="K18" s="10">
        <f t="shared" si="1"/>
        <v>110512.625</v>
      </c>
      <c r="L18" s="10"/>
    </row>
    <row r="19" spans="1:12" ht="15">
      <c r="A19" s="4"/>
      <c r="B19" s="4" t="s">
        <v>132</v>
      </c>
      <c r="C19" s="4"/>
      <c r="D19" s="4" t="s">
        <v>133</v>
      </c>
      <c r="E19" s="9">
        <f>250*12*6</f>
        <v>18000</v>
      </c>
      <c r="F19" s="9">
        <v>20000</v>
      </c>
      <c r="G19" s="10">
        <f t="shared" si="0"/>
        <v>21000</v>
      </c>
      <c r="H19" s="10">
        <f t="shared" si="0"/>
        <v>22050</v>
      </c>
      <c r="I19" s="10">
        <f t="shared" si="0"/>
        <v>23152.5</v>
      </c>
      <c r="J19" s="10">
        <f t="shared" si="0"/>
        <v>24310.125</v>
      </c>
      <c r="K19" s="10">
        <f t="shared" si="1"/>
        <v>110512.625</v>
      </c>
      <c r="L19" s="10"/>
    </row>
    <row r="20" spans="1:12" ht="15">
      <c r="A20" s="4"/>
      <c r="B20" s="4" t="s">
        <v>134</v>
      </c>
      <c r="C20" s="4"/>
      <c r="D20" s="4" t="s">
        <v>135</v>
      </c>
      <c r="E20" s="10">
        <v>10000</v>
      </c>
      <c r="F20" s="10">
        <v>10000</v>
      </c>
      <c r="G20" s="10">
        <f t="shared" si="0"/>
        <v>10500</v>
      </c>
      <c r="H20" s="10">
        <f t="shared" si="0"/>
        <v>11025</v>
      </c>
      <c r="I20" s="10">
        <f t="shared" si="0"/>
        <v>11576.25</v>
      </c>
      <c r="J20" s="10">
        <f t="shared" si="0"/>
        <v>12155.0625</v>
      </c>
      <c r="K20" s="10">
        <f t="shared" si="1"/>
        <v>55256.3125</v>
      </c>
      <c r="L20" s="10"/>
    </row>
    <row r="21" spans="1:12" ht="15">
      <c r="A21" s="4"/>
      <c r="C21" s="4"/>
      <c r="D21" s="3" t="s">
        <v>136</v>
      </c>
      <c r="E21" s="12">
        <f aca="true" t="shared" si="2" ref="E21:J21">SUM(E15:E20)</f>
        <v>280000</v>
      </c>
      <c r="F21" s="12">
        <f t="shared" si="2"/>
        <v>305000</v>
      </c>
      <c r="G21" s="12">
        <f t="shared" si="2"/>
        <v>320250</v>
      </c>
      <c r="H21" s="12">
        <f t="shared" si="2"/>
        <v>336262.5</v>
      </c>
      <c r="I21" s="12">
        <f t="shared" si="2"/>
        <v>353075.625</v>
      </c>
      <c r="J21" s="12">
        <f t="shared" si="2"/>
        <v>370729.40625</v>
      </c>
      <c r="K21" s="13">
        <f t="shared" si="1"/>
        <v>1685317.53125</v>
      </c>
      <c r="L21" s="10">
        <f>SUM(K15:K20)</f>
        <v>1685317.53125</v>
      </c>
    </row>
    <row r="22" spans="1:12" ht="15">
      <c r="A22" s="4"/>
      <c r="B22" s="4" t="s">
        <v>137</v>
      </c>
      <c r="C22" s="4"/>
      <c r="D22" s="4" t="s">
        <v>138</v>
      </c>
      <c r="E22" s="9">
        <f aca="true" t="shared" si="3" ref="E22:J22">+E21*0.1</f>
        <v>28000</v>
      </c>
      <c r="F22" s="9">
        <f t="shared" si="3"/>
        <v>30500</v>
      </c>
      <c r="G22" s="9">
        <f t="shared" si="3"/>
        <v>32025</v>
      </c>
      <c r="H22" s="9">
        <f t="shared" si="3"/>
        <v>33626.25</v>
      </c>
      <c r="I22" s="9">
        <f t="shared" si="3"/>
        <v>35307.5625</v>
      </c>
      <c r="J22" s="9">
        <f t="shared" si="3"/>
        <v>37072.940625</v>
      </c>
      <c r="K22" s="10">
        <f t="shared" si="1"/>
        <v>168531.753125</v>
      </c>
      <c r="L22" s="10"/>
    </row>
    <row r="23" spans="1:12" ht="15">
      <c r="A23" s="4"/>
      <c r="B23" s="4" t="s">
        <v>139</v>
      </c>
      <c r="C23" s="4"/>
      <c r="D23" s="41" t="s">
        <v>140</v>
      </c>
      <c r="E23" s="9">
        <f aca="true" t="shared" si="4" ref="E23:J23">+E21*0.05</f>
        <v>14000</v>
      </c>
      <c r="F23" s="9">
        <f t="shared" si="4"/>
        <v>15250</v>
      </c>
      <c r="G23" s="9">
        <f t="shared" si="4"/>
        <v>16012.5</v>
      </c>
      <c r="H23" s="9">
        <f t="shared" si="4"/>
        <v>16813.125</v>
      </c>
      <c r="I23" s="9">
        <f t="shared" si="4"/>
        <v>17653.78125</v>
      </c>
      <c r="J23" s="9">
        <f t="shared" si="4"/>
        <v>18536.4703125</v>
      </c>
      <c r="K23" s="10">
        <f t="shared" si="1"/>
        <v>84265.8765625</v>
      </c>
      <c r="L23" s="10"/>
    </row>
    <row r="24" spans="1:12" ht="15">
      <c r="A24" s="4"/>
      <c r="B24" s="4" t="s">
        <v>141</v>
      </c>
      <c r="C24" s="4"/>
      <c r="D24" s="4" t="s">
        <v>142</v>
      </c>
      <c r="E24" s="9">
        <f aca="true" t="shared" si="5" ref="E24:J24">+E21*0.1</f>
        <v>28000</v>
      </c>
      <c r="F24" s="9">
        <f t="shared" si="5"/>
        <v>30500</v>
      </c>
      <c r="G24" s="9">
        <f t="shared" si="5"/>
        <v>32025</v>
      </c>
      <c r="H24" s="9">
        <f t="shared" si="5"/>
        <v>33626.25</v>
      </c>
      <c r="I24" s="9">
        <f t="shared" si="5"/>
        <v>35307.5625</v>
      </c>
      <c r="J24" s="9">
        <f t="shared" si="5"/>
        <v>37072.940625</v>
      </c>
      <c r="K24" s="10">
        <f t="shared" si="1"/>
        <v>168531.753125</v>
      </c>
      <c r="L24" s="10"/>
    </row>
    <row r="25" spans="1:12" ht="15">
      <c r="A25" s="4"/>
      <c r="B25" s="4"/>
      <c r="C25" s="4"/>
      <c r="D25" s="3" t="s">
        <v>648</v>
      </c>
      <c r="E25" s="12">
        <f aca="true" t="shared" si="6" ref="E25:J25">SUM(E22:E24)</f>
        <v>70000</v>
      </c>
      <c r="F25" s="12">
        <f t="shared" si="6"/>
        <v>76250</v>
      </c>
      <c r="G25" s="12">
        <f t="shared" si="6"/>
        <v>80062.5</v>
      </c>
      <c r="H25" s="12">
        <f t="shared" si="6"/>
        <v>84065.625</v>
      </c>
      <c r="I25" s="12">
        <f t="shared" si="6"/>
        <v>88268.90625</v>
      </c>
      <c r="J25" s="12">
        <f t="shared" si="6"/>
        <v>92682.3515625</v>
      </c>
      <c r="K25" s="13">
        <f t="shared" si="1"/>
        <v>421329.3828125</v>
      </c>
      <c r="L25" s="10">
        <f>SUM(K22:K24)</f>
        <v>421329.3828125</v>
      </c>
    </row>
    <row r="26" spans="1:12" ht="15">
      <c r="A26" s="4">
        <v>5</v>
      </c>
      <c r="B26" s="4"/>
      <c r="C26" s="4"/>
      <c r="D26" s="4" t="s">
        <v>539</v>
      </c>
      <c r="E26" s="9">
        <f>100000*5</f>
        <v>500000</v>
      </c>
      <c r="F26" s="9">
        <v>100000</v>
      </c>
      <c r="G26" s="10">
        <f>+F26</f>
        <v>100000</v>
      </c>
      <c r="H26" s="10">
        <f>+G26</f>
        <v>100000</v>
      </c>
      <c r="I26" s="10">
        <f>+H26</f>
        <v>100000</v>
      </c>
      <c r="J26" s="10">
        <f>+I26</f>
        <v>100000</v>
      </c>
      <c r="K26" s="10">
        <f t="shared" si="1"/>
        <v>500000</v>
      </c>
      <c r="L26" s="10"/>
    </row>
    <row r="27" spans="1:12" ht="15">
      <c r="A27" s="4">
        <v>6</v>
      </c>
      <c r="B27" s="4" t="s">
        <v>124</v>
      </c>
      <c r="C27" s="4"/>
      <c r="D27" s="4" t="s">
        <v>143</v>
      </c>
      <c r="E27" s="9">
        <f>100000*5</f>
        <v>500000</v>
      </c>
      <c r="F27" s="9">
        <v>100000</v>
      </c>
      <c r="G27" s="10">
        <f>+F27*1.05</f>
        <v>105000</v>
      </c>
      <c r="H27" s="10">
        <f>+G27*1.05</f>
        <v>110250</v>
      </c>
      <c r="I27" s="10">
        <f>+H27*1.05</f>
        <v>115762.5</v>
      </c>
      <c r="J27" s="10">
        <f>+I27*1.05</f>
        <v>121550.625</v>
      </c>
      <c r="K27" s="10">
        <f t="shared" si="1"/>
        <v>552563.125</v>
      </c>
      <c r="L27" s="10"/>
    </row>
    <row r="28" spans="1:12" ht="15">
      <c r="A28" s="4"/>
      <c r="B28" s="4" t="s">
        <v>126</v>
      </c>
      <c r="C28" s="4"/>
      <c r="D28" s="4" t="s">
        <v>144</v>
      </c>
      <c r="E28" s="9">
        <f>100000*5</f>
        <v>500000</v>
      </c>
      <c r="F28" s="9">
        <v>100000</v>
      </c>
      <c r="G28" s="10">
        <v>100000</v>
      </c>
      <c r="H28" s="10">
        <v>100000</v>
      </c>
      <c r="I28" s="10">
        <v>100000</v>
      </c>
      <c r="J28" s="10">
        <v>100000</v>
      </c>
      <c r="K28" s="10">
        <f t="shared" si="1"/>
        <v>500000</v>
      </c>
      <c r="L28" s="10"/>
    </row>
    <row r="29" spans="1:12" ht="15">
      <c r="A29" s="4" t="s">
        <v>80</v>
      </c>
      <c r="B29" s="4" t="s">
        <v>128</v>
      </c>
      <c r="C29" s="4"/>
      <c r="D29" s="4" t="s">
        <v>145</v>
      </c>
      <c r="E29" s="9">
        <f>200000*5</f>
        <v>1000000</v>
      </c>
      <c r="F29" s="9">
        <v>200000</v>
      </c>
      <c r="G29" s="10">
        <f aca="true" t="shared" si="7" ref="G29:J32">+F29*1.05</f>
        <v>210000</v>
      </c>
      <c r="H29" s="10">
        <f t="shared" si="7"/>
        <v>220500</v>
      </c>
      <c r="I29" s="10">
        <f t="shared" si="7"/>
        <v>231525</v>
      </c>
      <c r="J29" s="10">
        <f t="shared" si="7"/>
        <v>243101.25</v>
      </c>
      <c r="K29" s="10">
        <f t="shared" si="1"/>
        <v>1105126.25</v>
      </c>
      <c r="L29" s="10"/>
    </row>
    <row r="30" spans="1:12" ht="15">
      <c r="A30" s="4"/>
      <c r="B30" s="4" t="s">
        <v>130</v>
      </c>
      <c r="C30" s="4"/>
      <c r="D30" s="4" t="s">
        <v>146</v>
      </c>
      <c r="E30" s="9">
        <f>100000*5</f>
        <v>500000</v>
      </c>
      <c r="F30" s="9">
        <v>100000</v>
      </c>
      <c r="G30" s="10">
        <f t="shared" si="7"/>
        <v>105000</v>
      </c>
      <c r="H30" s="10">
        <f t="shared" si="7"/>
        <v>110250</v>
      </c>
      <c r="I30" s="10">
        <f t="shared" si="7"/>
        <v>115762.5</v>
      </c>
      <c r="J30" s="10">
        <f t="shared" si="7"/>
        <v>121550.625</v>
      </c>
      <c r="K30" s="10">
        <f>SUM(F30:J30)</f>
        <v>552563.125</v>
      </c>
      <c r="L30" s="10"/>
    </row>
    <row r="31" spans="1:11" ht="15">
      <c r="A31" s="4"/>
      <c r="B31" s="4" t="s">
        <v>132</v>
      </c>
      <c r="C31" s="4"/>
      <c r="D31" s="4" t="s">
        <v>147</v>
      </c>
      <c r="E31" s="9">
        <f>500000*5</f>
        <v>2500000</v>
      </c>
      <c r="F31" s="9">
        <v>500000</v>
      </c>
      <c r="G31" s="10">
        <f t="shared" si="7"/>
        <v>525000</v>
      </c>
      <c r="H31" s="10">
        <f t="shared" si="7"/>
        <v>551250</v>
      </c>
      <c r="I31" s="10">
        <f t="shared" si="7"/>
        <v>578812.5</v>
      </c>
      <c r="J31" s="10">
        <f t="shared" si="7"/>
        <v>607753.125</v>
      </c>
      <c r="K31" s="10">
        <f>SUM(F31:J31)</f>
        <v>2762815.625</v>
      </c>
    </row>
    <row r="32" spans="1:12" ht="15.75">
      <c r="A32" s="4"/>
      <c r="B32" s="4" t="s">
        <v>134</v>
      </c>
      <c r="C32" s="4"/>
      <c r="D32" s="232" t="s">
        <v>542</v>
      </c>
      <c r="E32" s="231"/>
      <c r="F32" s="9">
        <f>25*350*12</f>
        <v>105000</v>
      </c>
      <c r="G32" s="10">
        <f t="shared" si="7"/>
        <v>110250</v>
      </c>
      <c r="H32" s="10">
        <f>+G32*1.05</f>
        <v>115762.5</v>
      </c>
      <c r="I32" s="10">
        <f>+H32*1.05</f>
        <v>121550.625</v>
      </c>
      <c r="J32" s="10">
        <f>+I32*1.05</f>
        <v>127628.15625</v>
      </c>
      <c r="K32" s="10">
        <f>SUM(F32:J32)</f>
        <v>580191.28125</v>
      </c>
      <c r="L32" s="10"/>
    </row>
    <row r="33" spans="1:12" ht="15">
      <c r="A33" s="4"/>
      <c r="B33" s="4"/>
      <c r="C33" s="4"/>
      <c r="D33" s="3" t="s">
        <v>148</v>
      </c>
      <c r="E33" s="12">
        <f aca="true" t="shared" si="8" ref="E33:J33">SUM(E26:E32)</f>
        <v>5500000</v>
      </c>
      <c r="F33" s="12">
        <f t="shared" si="8"/>
        <v>1205000</v>
      </c>
      <c r="G33" s="12">
        <f t="shared" si="8"/>
        <v>1255250</v>
      </c>
      <c r="H33" s="12">
        <f t="shared" si="8"/>
        <v>1308012.5</v>
      </c>
      <c r="I33" s="12">
        <f t="shared" si="8"/>
        <v>1363413.125</v>
      </c>
      <c r="J33" s="12">
        <f t="shared" si="8"/>
        <v>1421583.78125</v>
      </c>
      <c r="K33" s="13">
        <f>SUM(F33:J33)</f>
        <v>6553259.40625</v>
      </c>
      <c r="L33" s="10">
        <f>SUM(K26:K32)</f>
        <v>6553259.40625</v>
      </c>
    </row>
    <row r="34" spans="1:12" ht="15">
      <c r="A34" s="4"/>
      <c r="B34" s="4" t="s">
        <v>137</v>
      </c>
      <c r="C34" s="4"/>
      <c r="D34" s="4" t="s">
        <v>138</v>
      </c>
      <c r="E34" s="9">
        <f aca="true" t="shared" si="9" ref="E34:J34">+E33*0.1</f>
        <v>550000</v>
      </c>
      <c r="F34" s="9">
        <f t="shared" si="9"/>
        <v>120500</v>
      </c>
      <c r="G34" s="9">
        <f t="shared" si="9"/>
        <v>125525</v>
      </c>
      <c r="H34" s="9">
        <f t="shared" si="9"/>
        <v>130801.25</v>
      </c>
      <c r="I34" s="9">
        <f t="shared" si="9"/>
        <v>136341.3125</v>
      </c>
      <c r="J34" s="9">
        <f t="shared" si="9"/>
        <v>142158.37812500002</v>
      </c>
      <c r="K34" s="10">
        <f t="shared" si="1"/>
        <v>655325.940625</v>
      </c>
      <c r="L34" s="10"/>
    </row>
    <row r="35" spans="1:12" ht="15">
      <c r="A35" s="4"/>
      <c r="B35" s="4" t="s">
        <v>139</v>
      </c>
      <c r="C35" s="4"/>
      <c r="D35" s="41" t="s">
        <v>140</v>
      </c>
      <c r="E35" s="9">
        <f aca="true" t="shared" si="10" ref="E35:J35">+E33*0.05</f>
        <v>275000</v>
      </c>
      <c r="F35" s="9">
        <f t="shared" si="10"/>
        <v>60250</v>
      </c>
      <c r="G35" s="9">
        <f t="shared" si="10"/>
        <v>62762.5</v>
      </c>
      <c r="H35" s="9">
        <f t="shared" si="10"/>
        <v>65400.625</v>
      </c>
      <c r="I35" s="9">
        <f t="shared" si="10"/>
        <v>68170.65625</v>
      </c>
      <c r="J35" s="9">
        <f t="shared" si="10"/>
        <v>71079.18906250001</v>
      </c>
      <c r="K35" s="10">
        <f t="shared" si="1"/>
        <v>327662.9703125</v>
      </c>
      <c r="L35" s="10"/>
    </row>
    <row r="36" spans="1:12" ht="15">
      <c r="A36" s="4"/>
      <c r="B36" s="4" t="s">
        <v>141</v>
      </c>
      <c r="C36" s="4"/>
      <c r="D36" s="4" t="s">
        <v>142</v>
      </c>
      <c r="E36" s="9">
        <f aca="true" t="shared" si="11" ref="E36:J36">+E33*0.1</f>
        <v>550000</v>
      </c>
      <c r="F36" s="9">
        <f t="shared" si="11"/>
        <v>120500</v>
      </c>
      <c r="G36" s="9">
        <f t="shared" si="11"/>
        <v>125525</v>
      </c>
      <c r="H36" s="9">
        <f t="shared" si="11"/>
        <v>130801.25</v>
      </c>
      <c r="I36" s="9">
        <f t="shared" si="11"/>
        <v>136341.3125</v>
      </c>
      <c r="J36" s="9">
        <f t="shared" si="11"/>
        <v>142158.37812500002</v>
      </c>
      <c r="K36" s="10">
        <f t="shared" si="1"/>
        <v>655325.940625</v>
      </c>
      <c r="L36" s="10"/>
    </row>
    <row r="37" spans="1:12" ht="15">
      <c r="A37" s="4"/>
      <c r="B37" s="4"/>
      <c r="C37" s="4"/>
      <c r="D37" s="3" t="s">
        <v>649</v>
      </c>
      <c r="E37" s="12">
        <f aca="true" t="shared" si="12" ref="E37:J37">SUM(E34:E36)</f>
        <v>1375000</v>
      </c>
      <c r="F37" s="12">
        <f t="shared" si="12"/>
        <v>301250</v>
      </c>
      <c r="G37" s="12">
        <f t="shared" si="12"/>
        <v>313812.5</v>
      </c>
      <c r="H37" s="12">
        <f t="shared" si="12"/>
        <v>327003.125</v>
      </c>
      <c r="I37" s="12">
        <f t="shared" si="12"/>
        <v>340853.28125</v>
      </c>
      <c r="J37" s="12">
        <f t="shared" si="12"/>
        <v>355395.9453125</v>
      </c>
      <c r="K37" s="13">
        <f t="shared" si="1"/>
        <v>1638314.8515625</v>
      </c>
      <c r="L37" s="10">
        <f>SUM(K34:K36)</f>
        <v>1638314.8515625</v>
      </c>
    </row>
    <row r="38" spans="1:12" ht="15">
      <c r="A38" s="4">
        <v>7</v>
      </c>
      <c r="B38" s="4"/>
      <c r="C38" s="4"/>
      <c r="D38" s="4" t="s">
        <v>149</v>
      </c>
      <c r="E38" s="9">
        <v>2500000</v>
      </c>
      <c r="F38" s="9">
        <v>1000000</v>
      </c>
      <c r="G38" s="10">
        <v>500000</v>
      </c>
      <c r="H38" s="10">
        <v>500000</v>
      </c>
      <c r="I38" s="10">
        <v>0</v>
      </c>
      <c r="J38" s="10">
        <v>500000</v>
      </c>
      <c r="K38" s="10">
        <f t="shared" si="1"/>
        <v>2500000</v>
      </c>
      <c r="L38" s="10"/>
    </row>
    <row r="39" spans="1:12" ht="15">
      <c r="A39" s="4">
        <v>8</v>
      </c>
      <c r="B39" s="4"/>
      <c r="C39" s="4"/>
      <c r="D39" s="4" t="s">
        <v>150</v>
      </c>
      <c r="E39" s="9">
        <v>2000000</v>
      </c>
      <c r="F39" s="9">
        <v>1000000</v>
      </c>
      <c r="G39" s="10">
        <v>500000</v>
      </c>
      <c r="H39" s="10">
        <v>500000</v>
      </c>
      <c r="I39" s="10"/>
      <c r="J39" s="10"/>
      <c r="K39" s="10">
        <f t="shared" si="1"/>
        <v>2000000</v>
      </c>
      <c r="L39" s="10"/>
    </row>
    <row r="40" spans="1:12" ht="15">
      <c r="A40" s="4">
        <v>9</v>
      </c>
      <c r="B40" s="4"/>
      <c r="C40" s="4"/>
      <c r="D40" s="42" t="s">
        <v>151</v>
      </c>
      <c r="E40" s="9">
        <v>2000000</v>
      </c>
      <c r="F40" s="9">
        <v>500000</v>
      </c>
      <c r="G40" s="10">
        <v>500000</v>
      </c>
      <c r="H40" s="10">
        <v>500000</v>
      </c>
      <c r="I40" s="10">
        <v>500000</v>
      </c>
      <c r="J40" s="10">
        <v>0</v>
      </c>
      <c r="K40" s="10">
        <f t="shared" si="1"/>
        <v>2000000</v>
      </c>
      <c r="L40" s="10"/>
    </row>
    <row r="41" spans="1:12" ht="15">
      <c r="A41" s="4"/>
      <c r="B41" s="4" t="s">
        <v>124</v>
      </c>
      <c r="C41" s="4" t="s">
        <v>80</v>
      </c>
      <c r="D41" s="4" t="s">
        <v>152</v>
      </c>
      <c r="E41" s="9"/>
      <c r="F41" s="9"/>
      <c r="G41" s="10"/>
      <c r="H41" s="10"/>
      <c r="I41" s="10"/>
      <c r="J41" s="10"/>
      <c r="K41" s="10"/>
      <c r="L41" s="10"/>
    </row>
    <row r="42" spans="1:12" ht="15">
      <c r="A42" s="4"/>
      <c r="B42" s="4" t="s">
        <v>126</v>
      </c>
      <c r="C42" s="4"/>
      <c r="D42" s="4" t="s">
        <v>153</v>
      </c>
      <c r="L42" s="10"/>
    </row>
    <row r="43" spans="1:12" ht="15">
      <c r="A43" s="4">
        <v>10</v>
      </c>
      <c r="B43" s="4"/>
      <c r="C43" s="4"/>
      <c r="D43" s="42" t="s">
        <v>154</v>
      </c>
      <c r="E43" s="9">
        <v>2000000</v>
      </c>
      <c r="F43" s="9">
        <v>500000</v>
      </c>
      <c r="G43" s="10">
        <v>500000</v>
      </c>
      <c r="H43" s="10">
        <v>500000</v>
      </c>
      <c r="I43" s="10">
        <v>500000</v>
      </c>
      <c r="J43" s="10">
        <v>0</v>
      </c>
      <c r="K43" s="10">
        <f>SUM(F43:J43)</f>
        <v>2000000</v>
      </c>
      <c r="L43" s="10"/>
    </row>
    <row r="44" spans="1:12" ht="15">
      <c r="A44" s="4"/>
      <c r="B44" s="4" t="s">
        <v>124</v>
      </c>
      <c r="C44" s="4" t="s">
        <v>80</v>
      </c>
      <c r="D44" s="4" t="s">
        <v>152</v>
      </c>
      <c r="E44" s="9"/>
      <c r="F44" s="9"/>
      <c r="G44" s="10"/>
      <c r="H44" s="10"/>
      <c r="I44" s="10"/>
      <c r="J44" s="10"/>
      <c r="K44" s="10"/>
      <c r="L44" s="10"/>
    </row>
    <row r="45" spans="1:12" ht="15">
      <c r="A45" s="4"/>
      <c r="B45" s="4" t="s">
        <v>126</v>
      </c>
      <c r="C45" s="4"/>
      <c r="D45" s="4" t="s">
        <v>153</v>
      </c>
      <c r="E45" s="9"/>
      <c r="F45" s="9"/>
      <c r="G45" s="10"/>
      <c r="H45" s="10"/>
      <c r="I45" s="10"/>
      <c r="J45" s="10"/>
      <c r="K45" s="10"/>
      <c r="L45" s="10"/>
    </row>
    <row r="46" spans="1:12" ht="15">
      <c r="A46" s="4"/>
      <c r="B46" s="4" t="s">
        <v>128</v>
      </c>
      <c r="C46" s="4"/>
      <c r="D46" s="4" t="s">
        <v>155</v>
      </c>
      <c r="K46" s="10"/>
      <c r="L46" s="10"/>
    </row>
    <row r="47" spans="1:12" ht="15">
      <c r="A47" s="4">
        <v>11</v>
      </c>
      <c r="B47" s="4"/>
      <c r="C47" s="4"/>
      <c r="D47" s="3" t="s">
        <v>156</v>
      </c>
      <c r="E47" s="10">
        <v>2000000</v>
      </c>
      <c r="F47" s="10">
        <v>750000</v>
      </c>
      <c r="G47" s="10">
        <v>250000</v>
      </c>
      <c r="H47" s="10">
        <v>500000</v>
      </c>
      <c r="I47" s="10">
        <v>250000</v>
      </c>
      <c r="J47" s="10">
        <v>250000</v>
      </c>
      <c r="K47" s="10">
        <f t="shared" si="1"/>
        <v>2000000</v>
      </c>
      <c r="L47" s="10"/>
    </row>
    <row r="48" spans="1:12" ht="15">
      <c r="A48" s="4">
        <v>12</v>
      </c>
      <c r="B48" s="4"/>
      <c r="C48" s="4"/>
      <c r="D48" s="3" t="s">
        <v>157</v>
      </c>
      <c r="E48" s="10"/>
      <c r="F48" s="10">
        <v>250000</v>
      </c>
      <c r="G48" s="10">
        <v>250000</v>
      </c>
      <c r="H48" s="10">
        <v>250000</v>
      </c>
      <c r="I48" s="10"/>
      <c r="J48" s="10"/>
      <c r="K48" s="10">
        <f t="shared" si="1"/>
        <v>750000</v>
      </c>
      <c r="L48" s="10"/>
    </row>
    <row r="49" spans="1:14" ht="15">
      <c r="A49" s="4">
        <v>13</v>
      </c>
      <c r="B49" s="4"/>
      <c r="C49" s="4"/>
      <c r="D49" s="51" t="s">
        <v>515</v>
      </c>
      <c r="E49" s="52">
        <f>+'Multifamily Homes Budget.Canaan'!E333</f>
        <v>163125000</v>
      </c>
      <c r="F49" s="52">
        <v>20175000</v>
      </c>
      <c r="G49" s="52">
        <f>+'Multifamily Homes Budget.Canaan'!F333+1475000</f>
        <v>34100000</v>
      </c>
      <c r="H49" s="52">
        <f>+'Multifamily Homes Budget.Canaan'!F333+1625000</f>
        <v>34250000</v>
      </c>
      <c r="I49" s="52">
        <f>+'Multifamily Homes Budget.Canaan'!F333+4125000</f>
        <v>36750000</v>
      </c>
      <c r="J49" s="52">
        <f>+'Multifamily Homes Budget.Canaan'!F333+5225000</f>
        <v>37850000</v>
      </c>
      <c r="K49" s="53">
        <f t="shared" si="1"/>
        <v>163125000</v>
      </c>
      <c r="L49" s="10">
        <v>163124999.60950413</v>
      </c>
      <c r="M49" s="10">
        <f>163125000-157900000</f>
        <v>5225000</v>
      </c>
      <c r="N49" s="10"/>
    </row>
    <row r="50" spans="1:14" ht="15">
      <c r="A50" s="4"/>
      <c r="B50" s="4" t="s">
        <v>124</v>
      </c>
      <c r="C50" s="4"/>
      <c r="D50" s="282" t="s">
        <v>602</v>
      </c>
      <c r="E50" s="283">
        <v>1500000</v>
      </c>
      <c r="F50" s="244"/>
      <c r="G50" s="244"/>
      <c r="H50" s="244"/>
      <c r="I50" s="244"/>
      <c r="J50" s="244"/>
      <c r="K50" s="152"/>
      <c r="L50" s="10"/>
      <c r="M50" s="10"/>
      <c r="N50" s="10"/>
    </row>
    <row r="51" spans="1:12" ht="15">
      <c r="A51" s="4" t="s">
        <v>80</v>
      </c>
      <c r="B51" s="4" t="s">
        <v>126</v>
      </c>
      <c r="C51" s="4"/>
      <c r="D51" s="42" t="s">
        <v>158</v>
      </c>
      <c r="E51" s="9">
        <v>2500000</v>
      </c>
      <c r="F51" s="9">
        <v>500000</v>
      </c>
      <c r="G51" s="10">
        <v>250000</v>
      </c>
      <c r="H51" s="10">
        <v>250000</v>
      </c>
      <c r="I51" s="10">
        <v>1000000</v>
      </c>
      <c r="J51" s="10">
        <v>500000</v>
      </c>
      <c r="K51" s="10">
        <f t="shared" si="1"/>
        <v>2500000</v>
      </c>
      <c r="L51" s="10"/>
    </row>
    <row r="52" spans="1:12" ht="15">
      <c r="A52" s="4"/>
      <c r="B52" s="4" t="s">
        <v>128</v>
      </c>
      <c r="C52" s="4"/>
      <c r="D52" s="42" t="s">
        <v>514</v>
      </c>
      <c r="E52" s="9">
        <v>2580526.859504132</v>
      </c>
      <c r="F52" s="9">
        <v>4000000</v>
      </c>
      <c r="G52" s="10"/>
      <c r="H52" s="10"/>
      <c r="I52" s="10"/>
      <c r="J52" s="10"/>
      <c r="K52" s="10">
        <f t="shared" si="1"/>
        <v>4000000</v>
      </c>
      <c r="L52" s="10"/>
    </row>
    <row r="53" spans="1:12" ht="15.75">
      <c r="A53" s="4">
        <v>14</v>
      </c>
      <c r="B53" s="4"/>
      <c r="C53" s="4"/>
      <c r="D53" s="224" t="s">
        <v>681</v>
      </c>
      <c r="E53" s="9"/>
      <c r="F53" s="9">
        <f>+'Multifamily Homes Budget.Other'!B342</f>
        <v>6499999.996115703</v>
      </c>
      <c r="G53" s="10"/>
      <c r="H53" s="10"/>
      <c r="I53" s="10"/>
      <c r="J53" s="10"/>
      <c r="K53" s="10">
        <f t="shared" si="1"/>
        <v>6499999.996115703</v>
      </c>
      <c r="L53" s="10"/>
    </row>
    <row r="54" spans="1:12" ht="15">
      <c r="A54" s="4">
        <v>15</v>
      </c>
      <c r="B54" s="4"/>
      <c r="C54" s="4"/>
      <c r="D54" s="225" t="s">
        <v>509</v>
      </c>
      <c r="E54" s="9" t="s">
        <v>80</v>
      </c>
      <c r="F54" s="9" t="s">
        <v>80</v>
      </c>
      <c r="G54" s="10" t="s">
        <v>80</v>
      </c>
      <c r="H54" s="10" t="s">
        <v>80</v>
      </c>
      <c r="I54" s="10" t="s">
        <v>80</v>
      </c>
      <c r="J54" s="10" t="s">
        <v>80</v>
      </c>
      <c r="K54" s="10"/>
      <c r="L54" s="10"/>
    </row>
    <row r="55" spans="1:12" ht="15">
      <c r="A55" s="4"/>
      <c r="B55" s="4" t="s">
        <v>124</v>
      </c>
      <c r="C55" s="4" t="s">
        <v>80</v>
      </c>
      <c r="D55" s="226" t="s">
        <v>583</v>
      </c>
      <c r="E55" s="9">
        <v>3000000</v>
      </c>
      <c r="F55" s="9">
        <v>1000000</v>
      </c>
      <c r="G55" s="10">
        <v>500000</v>
      </c>
      <c r="H55" s="10">
        <v>500000</v>
      </c>
      <c r="I55" s="10">
        <v>500000</v>
      </c>
      <c r="J55" s="10">
        <v>500000</v>
      </c>
      <c r="K55" s="10">
        <f aca="true" t="shared" si="13" ref="K55:K137">SUM(F55:J55)</f>
        <v>3000000</v>
      </c>
      <c r="L55" s="10"/>
    </row>
    <row r="56" spans="1:12" ht="15">
      <c r="A56" s="4"/>
      <c r="B56" s="4" t="s">
        <v>126</v>
      </c>
      <c r="C56" s="4"/>
      <c r="D56" s="226" t="s">
        <v>589</v>
      </c>
      <c r="E56" s="9">
        <v>3500000</v>
      </c>
      <c r="F56" s="9">
        <v>750000</v>
      </c>
      <c r="G56" s="10">
        <v>750000</v>
      </c>
      <c r="H56" s="10">
        <v>1000000</v>
      </c>
      <c r="I56" s="10">
        <v>500000</v>
      </c>
      <c r="J56" s="10">
        <v>500000</v>
      </c>
      <c r="K56" s="10">
        <f t="shared" si="13"/>
        <v>3500000</v>
      </c>
      <c r="L56" s="10"/>
    </row>
    <row r="57" spans="1:12" ht="15">
      <c r="A57" s="4">
        <v>16</v>
      </c>
      <c r="B57" s="4"/>
      <c r="C57" s="4"/>
      <c r="D57" s="226" t="s">
        <v>159</v>
      </c>
      <c r="E57" s="9">
        <v>2000000</v>
      </c>
      <c r="F57" s="9">
        <v>1000000</v>
      </c>
      <c r="G57" s="10">
        <v>500000</v>
      </c>
      <c r="H57" s="10">
        <v>500000</v>
      </c>
      <c r="I57" s="10">
        <v>0</v>
      </c>
      <c r="J57" s="10">
        <v>0</v>
      </c>
      <c r="K57" s="10">
        <f t="shared" si="13"/>
        <v>2000000</v>
      </c>
      <c r="L57" s="10"/>
    </row>
    <row r="58" spans="1:12" ht="15">
      <c r="A58" s="4">
        <v>17</v>
      </c>
      <c r="B58" s="4"/>
      <c r="C58" s="4"/>
      <c r="D58" s="4" t="s">
        <v>160</v>
      </c>
      <c r="E58" s="9"/>
      <c r="F58" s="9">
        <v>500000</v>
      </c>
      <c r="G58" s="9">
        <v>500000</v>
      </c>
      <c r="H58" s="9">
        <v>500000</v>
      </c>
      <c r="I58" s="9">
        <v>500000</v>
      </c>
      <c r="J58" s="9">
        <v>500000</v>
      </c>
      <c r="K58" s="10">
        <f t="shared" si="13"/>
        <v>2500000</v>
      </c>
      <c r="L58" s="10"/>
    </row>
    <row r="59" spans="1:12" ht="15">
      <c r="A59" s="4">
        <v>18</v>
      </c>
      <c r="B59" s="4"/>
      <c r="C59" s="4"/>
      <c r="D59" s="4" t="s">
        <v>161</v>
      </c>
      <c r="E59" s="9">
        <f>500000*5</f>
        <v>2500000</v>
      </c>
      <c r="F59" s="9">
        <v>500000</v>
      </c>
      <c r="G59" s="9">
        <v>500000</v>
      </c>
      <c r="H59" s="9">
        <v>500000</v>
      </c>
      <c r="I59" s="9">
        <v>500000</v>
      </c>
      <c r="J59" s="9">
        <v>500000</v>
      </c>
      <c r="K59" s="10">
        <f t="shared" si="13"/>
        <v>2500000</v>
      </c>
      <c r="L59" s="10"/>
    </row>
    <row r="60" spans="1:12" ht="15">
      <c r="A60" s="4">
        <v>19</v>
      </c>
      <c r="B60" s="4"/>
      <c r="C60" s="4"/>
      <c r="D60" s="4" t="s">
        <v>162</v>
      </c>
      <c r="E60" s="9">
        <f>500000*5</f>
        <v>2500000</v>
      </c>
      <c r="F60" s="9">
        <v>500000</v>
      </c>
      <c r="G60" s="9">
        <f>+F60</f>
        <v>500000</v>
      </c>
      <c r="H60" s="9">
        <f>+G60</f>
        <v>500000</v>
      </c>
      <c r="I60" s="9">
        <v>500000</v>
      </c>
      <c r="J60" s="9">
        <v>500000</v>
      </c>
      <c r="K60" s="10">
        <f t="shared" si="13"/>
        <v>2500000</v>
      </c>
      <c r="L60" s="10"/>
    </row>
    <row r="61" spans="1:12" ht="15">
      <c r="A61" s="4">
        <v>20</v>
      </c>
      <c r="B61" s="4"/>
      <c r="C61" s="4"/>
      <c r="D61" s="3" t="s">
        <v>592</v>
      </c>
      <c r="E61" s="9">
        <v>1750000</v>
      </c>
      <c r="F61" s="9">
        <v>750000</v>
      </c>
      <c r="G61" s="10">
        <v>250000</v>
      </c>
      <c r="H61" s="10">
        <v>250000</v>
      </c>
      <c r="I61" s="10">
        <v>250000</v>
      </c>
      <c r="J61" s="10">
        <v>250000</v>
      </c>
      <c r="K61" s="10">
        <f t="shared" si="13"/>
        <v>1750000</v>
      </c>
      <c r="L61" s="10"/>
    </row>
    <row r="62" spans="1:12" ht="15">
      <c r="A62" s="4"/>
      <c r="B62" s="4" t="s">
        <v>124</v>
      </c>
      <c r="C62" s="4"/>
      <c r="D62" s="3"/>
      <c r="E62" s="9"/>
      <c r="F62" s="9"/>
      <c r="G62" s="10"/>
      <c r="H62" s="10"/>
      <c r="I62" s="10"/>
      <c r="J62" s="10"/>
      <c r="K62" s="10">
        <f t="shared" si="13"/>
        <v>0</v>
      </c>
      <c r="L62" s="10"/>
    </row>
    <row r="63" spans="1:12" ht="15">
      <c r="A63" s="4"/>
      <c r="B63" s="4" t="s">
        <v>126</v>
      </c>
      <c r="C63" s="4"/>
      <c r="D63" s="3"/>
      <c r="E63" s="9"/>
      <c r="F63" s="9"/>
      <c r="G63" s="10"/>
      <c r="H63" s="10"/>
      <c r="I63" s="10"/>
      <c r="J63" s="10"/>
      <c r="K63" s="10">
        <f t="shared" si="13"/>
        <v>0</v>
      </c>
      <c r="L63" s="10"/>
    </row>
    <row r="64" spans="1:12" ht="15">
      <c r="A64" s="4">
        <v>21</v>
      </c>
      <c r="B64" s="4"/>
      <c r="C64" s="4"/>
      <c r="D64" s="4" t="s">
        <v>163</v>
      </c>
      <c r="E64" s="9">
        <f>2000*12</f>
        <v>24000</v>
      </c>
      <c r="F64" s="9">
        <v>24000</v>
      </c>
      <c r="G64" s="9">
        <f>+F64*1.05</f>
        <v>25200</v>
      </c>
      <c r="H64" s="9">
        <f>+G64*1.05</f>
        <v>26460</v>
      </c>
      <c r="I64" s="9">
        <f>+H64*1.05</f>
        <v>27783</v>
      </c>
      <c r="J64" s="9">
        <f>+I64*1.05</f>
        <v>29172.15</v>
      </c>
      <c r="K64" s="10">
        <f t="shared" si="13"/>
        <v>132615.15</v>
      </c>
      <c r="L64" s="10"/>
    </row>
    <row r="65" spans="1:12" ht="15">
      <c r="A65" s="4">
        <v>22</v>
      </c>
      <c r="B65" s="4"/>
      <c r="C65" s="4"/>
      <c r="D65" s="4" t="s">
        <v>164</v>
      </c>
      <c r="E65" s="9"/>
      <c r="F65" s="9">
        <v>50000</v>
      </c>
      <c r="G65" s="10">
        <v>50000</v>
      </c>
      <c r="H65" s="10">
        <v>50000</v>
      </c>
      <c r="I65" s="10">
        <v>0</v>
      </c>
      <c r="J65" s="10">
        <v>0</v>
      </c>
      <c r="K65" s="10">
        <f t="shared" si="13"/>
        <v>150000</v>
      </c>
      <c r="L65" s="10"/>
    </row>
    <row r="66" spans="1:12" ht="15">
      <c r="A66" s="4">
        <v>23</v>
      </c>
      <c r="B66" s="4"/>
      <c r="C66" s="4"/>
      <c r="D66" s="42" t="s">
        <v>165</v>
      </c>
      <c r="E66" s="43"/>
      <c r="F66" s="43">
        <v>23639</v>
      </c>
      <c r="G66" s="44">
        <v>41520</v>
      </c>
      <c r="H66" s="44">
        <v>57368</v>
      </c>
      <c r="I66" s="44">
        <v>35410</v>
      </c>
      <c r="J66" s="44">
        <v>57353</v>
      </c>
      <c r="K66" s="44">
        <f t="shared" si="13"/>
        <v>215290</v>
      </c>
      <c r="L66" s="10"/>
    </row>
    <row r="67" spans="1:12" ht="15">
      <c r="A67" s="4">
        <v>24</v>
      </c>
      <c r="B67" s="4"/>
      <c r="C67" s="4"/>
      <c r="D67" s="3" t="s">
        <v>511</v>
      </c>
      <c r="E67" s="9"/>
      <c r="F67" s="9"/>
      <c r="G67" s="10"/>
      <c r="H67" s="10"/>
      <c r="I67" s="10"/>
      <c r="J67" s="10"/>
      <c r="K67" s="10"/>
      <c r="L67" s="10"/>
    </row>
    <row r="68" spans="1:12" ht="15">
      <c r="A68" s="4"/>
      <c r="B68" s="4" t="s">
        <v>124</v>
      </c>
      <c r="C68" s="4" t="s">
        <v>80</v>
      </c>
      <c r="D68" s="3" t="s">
        <v>510</v>
      </c>
      <c r="E68" s="9"/>
      <c r="F68" s="9"/>
      <c r="G68" s="10"/>
      <c r="H68" s="10"/>
      <c r="I68" s="10"/>
      <c r="J68" s="10"/>
      <c r="K68" s="10"/>
      <c r="L68" s="10"/>
    </row>
    <row r="69" spans="1:13" ht="15.75">
      <c r="A69" s="4"/>
      <c r="B69" s="4"/>
      <c r="C69" s="4">
        <v>1</v>
      </c>
      <c r="D69" s="6" t="s">
        <v>5</v>
      </c>
      <c r="E69" s="4"/>
      <c r="F69" s="9">
        <f>+'Labor Budget'!D12</f>
        <v>175000.00000000003</v>
      </c>
      <c r="G69" s="9">
        <f>+F69*1.05</f>
        <v>183750.00000000003</v>
      </c>
      <c r="H69" s="9">
        <f>+G69*1.05</f>
        <v>192937.50000000003</v>
      </c>
      <c r="I69" s="9">
        <f>+H69*1.05</f>
        <v>202584.37500000003</v>
      </c>
      <c r="J69" s="9">
        <f>+I69*1.05</f>
        <v>212713.59375000003</v>
      </c>
      <c r="K69" s="10">
        <f t="shared" si="13"/>
        <v>966985.4687500001</v>
      </c>
      <c r="L69" s="10"/>
      <c r="M69" s="177"/>
    </row>
    <row r="70" spans="1:13" ht="15.75">
      <c r="A70" s="4"/>
      <c r="B70" s="4"/>
      <c r="C70" s="4">
        <v>2</v>
      </c>
      <c r="D70" s="6" t="s">
        <v>29</v>
      </c>
      <c r="E70" s="4"/>
      <c r="F70" s="9">
        <f>+'Labor Budget'!D13</f>
        <v>6000</v>
      </c>
      <c r="G70" s="9">
        <f aca="true" t="shared" si="14" ref="G70:G107">+F70*1.05</f>
        <v>6300</v>
      </c>
      <c r="H70" s="9">
        <f aca="true" t="shared" si="15" ref="H70:H107">+G70*1.05</f>
        <v>6615</v>
      </c>
      <c r="I70" s="9">
        <f aca="true" t="shared" si="16" ref="I70:I107">+H70*1.05</f>
        <v>6945.75</v>
      </c>
      <c r="J70" s="9">
        <f aca="true" t="shared" si="17" ref="J70:J107">+I70*1.05</f>
        <v>7293.0375</v>
      </c>
      <c r="K70" s="10">
        <f t="shared" si="13"/>
        <v>33153.7875</v>
      </c>
      <c r="L70" s="10"/>
      <c r="M70" s="177"/>
    </row>
    <row r="71" spans="1:13" ht="15.75">
      <c r="A71" s="4"/>
      <c r="B71" s="4"/>
      <c r="C71" s="4">
        <v>3</v>
      </c>
      <c r="D71" s="6" t="s">
        <v>7</v>
      </c>
      <c r="E71" s="9"/>
      <c r="F71" s="9">
        <f>+'Labor Budget'!D14</f>
        <v>30000</v>
      </c>
      <c r="G71" s="9">
        <f t="shared" si="14"/>
        <v>31500</v>
      </c>
      <c r="H71" s="9">
        <f t="shared" si="15"/>
        <v>33075</v>
      </c>
      <c r="I71" s="9">
        <f t="shared" si="16"/>
        <v>34728.75</v>
      </c>
      <c r="J71" s="9">
        <f t="shared" si="17"/>
        <v>36465.1875</v>
      </c>
      <c r="K71" s="10">
        <f t="shared" si="13"/>
        <v>165768.9375</v>
      </c>
      <c r="L71" s="10"/>
      <c r="M71" s="177"/>
    </row>
    <row r="72" spans="1:13" ht="15.75">
      <c r="A72" s="4"/>
      <c r="B72" s="4"/>
      <c r="C72" s="4">
        <v>4</v>
      </c>
      <c r="D72" s="6" t="s">
        <v>9</v>
      </c>
      <c r="E72" s="9"/>
      <c r="F72" s="9">
        <f>+'Labor Budget'!D15</f>
        <v>12000</v>
      </c>
      <c r="G72" s="9">
        <f t="shared" si="14"/>
        <v>12600</v>
      </c>
      <c r="H72" s="9">
        <f t="shared" si="15"/>
        <v>13230</v>
      </c>
      <c r="I72" s="9">
        <f t="shared" si="16"/>
        <v>13891.5</v>
      </c>
      <c r="J72" s="9">
        <f t="shared" si="17"/>
        <v>14586.075</v>
      </c>
      <c r="K72" s="10">
        <f t="shared" si="13"/>
        <v>66307.575</v>
      </c>
      <c r="L72" s="10"/>
      <c r="M72" s="177"/>
    </row>
    <row r="73" spans="1:13" ht="15.75">
      <c r="A73" s="4"/>
      <c r="B73" s="4"/>
      <c r="C73" s="4">
        <v>5</v>
      </c>
      <c r="D73" s="6" t="s">
        <v>10</v>
      </c>
      <c r="E73" s="9"/>
      <c r="F73" s="9">
        <f>+'Labor Budget'!D16</f>
        <v>4800</v>
      </c>
      <c r="G73" s="9">
        <f t="shared" si="14"/>
        <v>5040</v>
      </c>
      <c r="H73" s="9">
        <f t="shared" si="15"/>
        <v>5292</v>
      </c>
      <c r="I73" s="9">
        <f t="shared" si="16"/>
        <v>5556.6</v>
      </c>
      <c r="J73" s="9">
        <f t="shared" si="17"/>
        <v>5834.43</v>
      </c>
      <c r="K73" s="10">
        <f t="shared" si="13"/>
        <v>26523.03</v>
      </c>
      <c r="L73" s="10"/>
      <c r="M73" s="177"/>
    </row>
    <row r="74" spans="1:13" ht="15.75">
      <c r="A74" s="4"/>
      <c r="B74" s="4"/>
      <c r="C74" s="4">
        <v>6</v>
      </c>
      <c r="D74" s="6" t="s">
        <v>12</v>
      </c>
      <c r="E74" s="9"/>
      <c r="F74" s="9">
        <f>+'Labor Budget'!D17</f>
        <v>4800</v>
      </c>
      <c r="G74" s="9">
        <f t="shared" si="14"/>
        <v>5040</v>
      </c>
      <c r="H74" s="9">
        <f t="shared" si="15"/>
        <v>5292</v>
      </c>
      <c r="I74" s="9">
        <f t="shared" si="16"/>
        <v>5556.6</v>
      </c>
      <c r="J74" s="9">
        <f t="shared" si="17"/>
        <v>5834.43</v>
      </c>
      <c r="K74" s="10">
        <f t="shared" si="13"/>
        <v>26523.03</v>
      </c>
      <c r="L74" s="10"/>
      <c r="M74" s="177"/>
    </row>
    <row r="75" spans="1:13" ht="15.75">
      <c r="A75" s="4"/>
      <c r="B75" s="4"/>
      <c r="C75" s="4">
        <v>7</v>
      </c>
      <c r="D75" s="6" t="s">
        <v>13</v>
      </c>
      <c r="E75" s="9"/>
      <c r="F75" s="9">
        <f>+'Labor Budget'!D18</f>
        <v>4800</v>
      </c>
      <c r="G75" s="9">
        <f t="shared" si="14"/>
        <v>5040</v>
      </c>
      <c r="H75" s="9">
        <f t="shared" si="15"/>
        <v>5292</v>
      </c>
      <c r="I75" s="9">
        <f t="shared" si="16"/>
        <v>5556.6</v>
      </c>
      <c r="J75" s="9">
        <f t="shared" si="17"/>
        <v>5834.43</v>
      </c>
      <c r="K75" s="10">
        <f t="shared" si="13"/>
        <v>26523.03</v>
      </c>
      <c r="L75" s="10"/>
      <c r="M75" s="177"/>
    </row>
    <row r="76" spans="1:13" ht="15.75">
      <c r="A76" s="4"/>
      <c r="B76" s="4"/>
      <c r="C76" s="4">
        <v>8</v>
      </c>
      <c r="D76" s="6" t="s">
        <v>14</v>
      </c>
      <c r="E76" s="9"/>
      <c r="F76" s="9">
        <f>+'Labor Budget'!D19</f>
        <v>4800</v>
      </c>
      <c r="G76" s="9">
        <f t="shared" si="14"/>
        <v>5040</v>
      </c>
      <c r="H76" s="9">
        <f t="shared" si="15"/>
        <v>5292</v>
      </c>
      <c r="I76" s="9">
        <f t="shared" si="16"/>
        <v>5556.6</v>
      </c>
      <c r="J76" s="9">
        <f t="shared" si="17"/>
        <v>5834.43</v>
      </c>
      <c r="K76" s="10">
        <f t="shared" si="13"/>
        <v>26523.03</v>
      </c>
      <c r="L76" s="10"/>
      <c r="M76" s="177"/>
    </row>
    <row r="77" spans="1:13" ht="15.75">
      <c r="A77" s="4"/>
      <c r="B77" s="4"/>
      <c r="C77" s="4">
        <v>9</v>
      </c>
      <c r="D77" s="6" t="s">
        <v>15</v>
      </c>
      <c r="E77" s="9"/>
      <c r="F77" s="9">
        <f>+'Labor Budget'!D20</f>
        <v>4200</v>
      </c>
      <c r="G77" s="9">
        <f t="shared" si="14"/>
        <v>4410</v>
      </c>
      <c r="H77" s="9">
        <f t="shared" si="15"/>
        <v>4630.5</v>
      </c>
      <c r="I77" s="9">
        <f t="shared" si="16"/>
        <v>4862.025000000001</v>
      </c>
      <c r="J77" s="9">
        <f t="shared" si="17"/>
        <v>5105.126250000001</v>
      </c>
      <c r="K77" s="10">
        <f t="shared" si="13"/>
        <v>23207.651250000003</v>
      </c>
      <c r="L77" s="10"/>
      <c r="M77" s="177"/>
    </row>
    <row r="78" spans="1:13" ht="15.75">
      <c r="A78" s="4"/>
      <c r="B78" s="4"/>
      <c r="C78" s="4">
        <v>10</v>
      </c>
      <c r="D78" s="6" t="s">
        <v>16</v>
      </c>
      <c r="E78" s="9"/>
      <c r="F78" s="9">
        <f>+'Labor Budget'!D21</f>
        <v>3600</v>
      </c>
      <c r="G78" s="9">
        <f t="shared" si="14"/>
        <v>3780</v>
      </c>
      <c r="H78" s="9">
        <f t="shared" si="15"/>
        <v>3969</v>
      </c>
      <c r="I78" s="9">
        <f t="shared" si="16"/>
        <v>4167.45</v>
      </c>
      <c r="J78" s="9">
        <f t="shared" si="17"/>
        <v>4375.8225</v>
      </c>
      <c r="K78" s="10">
        <f t="shared" si="13"/>
        <v>19892.2725</v>
      </c>
      <c r="L78" s="10"/>
      <c r="M78" s="177"/>
    </row>
    <row r="79" spans="1:13" ht="15.75">
      <c r="A79" s="4"/>
      <c r="B79" s="4"/>
      <c r="C79" s="4">
        <v>11</v>
      </c>
      <c r="D79" s="6" t="s">
        <v>17</v>
      </c>
      <c r="E79" s="9"/>
      <c r="F79" s="9">
        <f>+'Labor Budget'!D22</f>
        <v>3600</v>
      </c>
      <c r="G79" s="9">
        <f t="shared" si="14"/>
        <v>3780</v>
      </c>
      <c r="H79" s="9">
        <f t="shared" si="15"/>
        <v>3969</v>
      </c>
      <c r="I79" s="9">
        <f t="shared" si="16"/>
        <v>4167.45</v>
      </c>
      <c r="J79" s="9">
        <f t="shared" si="17"/>
        <v>4375.8225</v>
      </c>
      <c r="K79" s="10">
        <f t="shared" si="13"/>
        <v>19892.2725</v>
      </c>
      <c r="L79" s="10"/>
      <c r="M79" s="177"/>
    </row>
    <row r="80" spans="1:13" ht="15.75">
      <c r="A80" s="4"/>
      <c r="B80" s="4"/>
      <c r="C80" s="4">
        <v>12</v>
      </c>
      <c r="D80" s="6" t="s">
        <v>18</v>
      </c>
      <c r="E80" s="9"/>
      <c r="F80" s="9">
        <f>+'Labor Budget'!D23</f>
        <v>3600</v>
      </c>
      <c r="G80" s="9">
        <f t="shared" si="14"/>
        <v>3780</v>
      </c>
      <c r="H80" s="9">
        <f t="shared" si="15"/>
        <v>3969</v>
      </c>
      <c r="I80" s="9">
        <f t="shared" si="16"/>
        <v>4167.45</v>
      </c>
      <c r="J80" s="9">
        <f t="shared" si="17"/>
        <v>4375.8225</v>
      </c>
      <c r="K80" s="10">
        <f t="shared" si="13"/>
        <v>19892.2725</v>
      </c>
      <c r="L80" s="10"/>
      <c r="M80" s="177"/>
    </row>
    <row r="81" spans="1:13" ht="15.75">
      <c r="A81" s="4"/>
      <c r="B81" s="4"/>
      <c r="C81" s="4">
        <v>13</v>
      </c>
      <c r="D81" s="6" t="s">
        <v>19</v>
      </c>
      <c r="E81" s="9"/>
      <c r="F81" s="9">
        <f>+'Labor Budget'!D24</f>
        <v>18000</v>
      </c>
      <c r="G81" s="9">
        <f t="shared" si="14"/>
        <v>18900</v>
      </c>
      <c r="H81" s="9">
        <f t="shared" si="15"/>
        <v>19845</v>
      </c>
      <c r="I81" s="9">
        <f t="shared" si="16"/>
        <v>20837.25</v>
      </c>
      <c r="J81" s="9">
        <f t="shared" si="17"/>
        <v>21879.1125</v>
      </c>
      <c r="K81" s="10">
        <f t="shared" si="13"/>
        <v>99461.3625</v>
      </c>
      <c r="L81" s="10"/>
      <c r="M81" s="177"/>
    </row>
    <row r="82" spans="1:13" ht="15.75">
      <c r="A82" s="4"/>
      <c r="B82" s="4"/>
      <c r="C82" s="4">
        <v>14</v>
      </c>
      <c r="D82" s="6" t="s">
        <v>21</v>
      </c>
      <c r="E82" s="9"/>
      <c r="F82" s="9">
        <f>+'Labor Budget'!D25</f>
        <v>9000</v>
      </c>
      <c r="G82" s="9">
        <f t="shared" si="14"/>
        <v>9450</v>
      </c>
      <c r="H82" s="9">
        <f t="shared" si="15"/>
        <v>9922.5</v>
      </c>
      <c r="I82" s="9">
        <f t="shared" si="16"/>
        <v>10418.625</v>
      </c>
      <c r="J82" s="9">
        <f t="shared" si="17"/>
        <v>10939.55625</v>
      </c>
      <c r="K82" s="10">
        <f t="shared" si="13"/>
        <v>49730.68125</v>
      </c>
      <c r="L82" s="10"/>
      <c r="M82" s="177"/>
    </row>
    <row r="83" spans="1:13" ht="15.75">
      <c r="A83" s="4"/>
      <c r="B83" s="4"/>
      <c r="C83" s="4">
        <v>15</v>
      </c>
      <c r="D83" s="6" t="s">
        <v>23</v>
      </c>
      <c r="E83" s="9"/>
      <c r="F83" s="9">
        <f>+'Labor Budget'!D26</f>
        <v>6000</v>
      </c>
      <c r="G83" s="9">
        <f t="shared" si="14"/>
        <v>6300</v>
      </c>
      <c r="H83" s="9">
        <f t="shared" si="15"/>
        <v>6615</v>
      </c>
      <c r="I83" s="9">
        <f t="shared" si="16"/>
        <v>6945.75</v>
      </c>
      <c r="J83" s="9">
        <f t="shared" si="17"/>
        <v>7293.0375</v>
      </c>
      <c r="K83" s="10">
        <f t="shared" si="13"/>
        <v>33153.7875</v>
      </c>
      <c r="L83" s="10"/>
      <c r="M83" s="177"/>
    </row>
    <row r="84" spans="1:13" ht="15.75">
      <c r="A84" s="4"/>
      <c r="B84" s="4"/>
      <c r="C84" s="4">
        <v>16</v>
      </c>
      <c r="D84" s="6" t="s">
        <v>24</v>
      </c>
      <c r="E84" s="9"/>
      <c r="F84" s="9">
        <f>+'Labor Budget'!D27</f>
        <v>4800</v>
      </c>
      <c r="G84" s="9">
        <f t="shared" si="14"/>
        <v>5040</v>
      </c>
      <c r="H84" s="9">
        <f t="shared" si="15"/>
        <v>5292</v>
      </c>
      <c r="I84" s="9">
        <f t="shared" si="16"/>
        <v>5556.6</v>
      </c>
      <c r="J84" s="9">
        <f t="shared" si="17"/>
        <v>5834.43</v>
      </c>
      <c r="K84" s="10">
        <f t="shared" si="13"/>
        <v>26523.03</v>
      </c>
      <c r="L84" s="10"/>
      <c r="M84" s="177"/>
    </row>
    <row r="85" spans="1:13" ht="15.75">
      <c r="A85" s="4"/>
      <c r="B85" s="4"/>
      <c r="C85" s="4">
        <v>17</v>
      </c>
      <c r="D85" s="6" t="s">
        <v>25</v>
      </c>
      <c r="E85" s="9"/>
      <c r="F85" s="9">
        <f>+'Labor Budget'!D28</f>
        <v>4800</v>
      </c>
      <c r="G85" s="9">
        <f t="shared" si="14"/>
        <v>5040</v>
      </c>
      <c r="H85" s="9">
        <f t="shared" si="15"/>
        <v>5292</v>
      </c>
      <c r="I85" s="9">
        <f t="shared" si="16"/>
        <v>5556.6</v>
      </c>
      <c r="J85" s="9">
        <f t="shared" si="17"/>
        <v>5834.43</v>
      </c>
      <c r="K85" s="10">
        <f t="shared" si="13"/>
        <v>26523.03</v>
      </c>
      <c r="L85" s="10"/>
      <c r="M85" s="177"/>
    </row>
    <row r="86" spans="1:13" ht="15.75">
      <c r="A86" s="4"/>
      <c r="B86" s="4"/>
      <c r="C86" s="4">
        <v>18</v>
      </c>
      <c r="D86" s="6" t="s">
        <v>26</v>
      </c>
      <c r="E86" s="9"/>
      <c r="F86" s="9">
        <f>+'Labor Budget'!D29</f>
        <v>4800</v>
      </c>
      <c r="G86" s="9">
        <f t="shared" si="14"/>
        <v>5040</v>
      </c>
      <c r="H86" s="9">
        <f t="shared" si="15"/>
        <v>5292</v>
      </c>
      <c r="I86" s="9">
        <f t="shared" si="16"/>
        <v>5556.6</v>
      </c>
      <c r="J86" s="9">
        <f t="shared" si="17"/>
        <v>5834.43</v>
      </c>
      <c r="K86" s="10">
        <f t="shared" si="13"/>
        <v>26523.03</v>
      </c>
      <c r="L86" s="10"/>
      <c r="M86" s="177"/>
    </row>
    <row r="87" spans="1:13" ht="15.75">
      <c r="A87" s="4"/>
      <c r="B87" s="4"/>
      <c r="C87" s="4">
        <v>19</v>
      </c>
      <c r="D87" s="6" t="s">
        <v>27</v>
      </c>
      <c r="E87" s="9"/>
      <c r="F87" s="9">
        <f>+'Labor Budget'!D30</f>
        <v>14400</v>
      </c>
      <c r="G87" s="9">
        <f t="shared" si="14"/>
        <v>15120</v>
      </c>
      <c r="H87" s="9">
        <f t="shared" si="15"/>
        <v>15876</v>
      </c>
      <c r="I87" s="9">
        <f t="shared" si="16"/>
        <v>16669.8</v>
      </c>
      <c r="J87" s="9">
        <f t="shared" si="17"/>
        <v>17503.29</v>
      </c>
      <c r="K87" s="10">
        <f t="shared" si="13"/>
        <v>79569.09</v>
      </c>
      <c r="L87" s="10"/>
      <c r="M87" s="177"/>
    </row>
    <row r="88" spans="1:13" ht="15.75">
      <c r="A88" s="4"/>
      <c r="B88" s="4"/>
      <c r="C88" s="4">
        <v>20</v>
      </c>
      <c r="D88" s="6" t="s">
        <v>28</v>
      </c>
      <c r="E88" s="9"/>
      <c r="F88" s="9">
        <f>+'Labor Budget'!D31</f>
        <v>6000</v>
      </c>
      <c r="G88" s="9">
        <f t="shared" si="14"/>
        <v>6300</v>
      </c>
      <c r="H88" s="9">
        <f t="shared" si="15"/>
        <v>6615</v>
      </c>
      <c r="I88" s="9">
        <f t="shared" si="16"/>
        <v>6945.75</v>
      </c>
      <c r="J88" s="9">
        <f t="shared" si="17"/>
        <v>7293.0375</v>
      </c>
      <c r="K88" s="10">
        <f t="shared" si="13"/>
        <v>33153.7875</v>
      </c>
      <c r="L88" s="10"/>
      <c r="M88" s="177"/>
    </row>
    <row r="89" spans="1:13" ht="15.75">
      <c r="A89" s="4"/>
      <c r="B89" s="4"/>
      <c r="C89" s="4">
        <v>21</v>
      </c>
      <c r="D89" s="6" t="s">
        <v>31</v>
      </c>
      <c r="E89" s="9"/>
      <c r="F89" s="9">
        <f>+'Labor Budget'!D32</f>
        <v>6000</v>
      </c>
      <c r="G89" s="9">
        <f t="shared" si="14"/>
        <v>6300</v>
      </c>
      <c r="H89" s="9">
        <f t="shared" si="15"/>
        <v>6615</v>
      </c>
      <c r="I89" s="9">
        <f t="shared" si="16"/>
        <v>6945.75</v>
      </c>
      <c r="J89" s="9">
        <f t="shared" si="17"/>
        <v>7293.0375</v>
      </c>
      <c r="K89" s="10">
        <f t="shared" si="13"/>
        <v>33153.7875</v>
      </c>
      <c r="L89" s="10"/>
      <c r="M89" s="177"/>
    </row>
    <row r="90" spans="1:13" ht="15.75">
      <c r="A90" s="4"/>
      <c r="B90" s="4"/>
      <c r="C90" s="4">
        <v>22</v>
      </c>
      <c r="D90" s="6" t="s">
        <v>32</v>
      </c>
      <c r="E90" s="9"/>
      <c r="F90" s="9">
        <f>+'Labor Budget'!D33</f>
        <v>4800</v>
      </c>
      <c r="G90" s="9">
        <f t="shared" si="14"/>
        <v>5040</v>
      </c>
      <c r="H90" s="9">
        <f t="shared" si="15"/>
        <v>5292</v>
      </c>
      <c r="I90" s="9">
        <f t="shared" si="16"/>
        <v>5556.6</v>
      </c>
      <c r="J90" s="9">
        <f t="shared" si="17"/>
        <v>5834.43</v>
      </c>
      <c r="K90" s="10">
        <f t="shared" si="13"/>
        <v>26523.03</v>
      </c>
      <c r="L90" s="10"/>
      <c r="M90" s="177"/>
    </row>
    <row r="91" spans="1:13" ht="15.75">
      <c r="A91" s="4"/>
      <c r="B91" s="4"/>
      <c r="C91" s="4">
        <v>23</v>
      </c>
      <c r="D91" s="6" t="s">
        <v>33</v>
      </c>
      <c r="E91" s="9"/>
      <c r="F91" s="9">
        <f>+'Labor Budget'!D34</f>
        <v>4800</v>
      </c>
      <c r="G91" s="9">
        <f t="shared" si="14"/>
        <v>5040</v>
      </c>
      <c r="H91" s="9">
        <f t="shared" si="15"/>
        <v>5292</v>
      </c>
      <c r="I91" s="9">
        <f t="shared" si="16"/>
        <v>5556.6</v>
      </c>
      <c r="J91" s="9">
        <f t="shared" si="17"/>
        <v>5834.43</v>
      </c>
      <c r="K91" s="10">
        <f t="shared" si="13"/>
        <v>26523.03</v>
      </c>
      <c r="L91" s="10"/>
      <c r="M91" s="177"/>
    </row>
    <row r="92" spans="1:13" ht="15.75">
      <c r="A92" s="4"/>
      <c r="B92" s="4"/>
      <c r="C92" s="4">
        <v>24</v>
      </c>
      <c r="D92" s="6" t="s">
        <v>34</v>
      </c>
      <c r="E92" s="9"/>
      <c r="F92" s="9">
        <f>+'Labor Budget'!D35</f>
        <v>18000</v>
      </c>
      <c r="G92" s="9">
        <f t="shared" si="14"/>
        <v>18900</v>
      </c>
      <c r="H92" s="9">
        <f t="shared" si="15"/>
        <v>19845</v>
      </c>
      <c r="I92" s="9">
        <f t="shared" si="16"/>
        <v>20837.25</v>
      </c>
      <c r="J92" s="9">
        <f t="shared" si="17"/>
        <v>21879.1125</v>
      </c>
      <c r="K92" s="10">
        <f t="shared" si="13"/>
        <v>99461.3625</v>
      </c>
      <c r="L92" s="10"/>
      <c r="M92" s="177"/>
    </row>
    <row r="93" spans="1:13" ht="15.75">
      <c r="A93" s="4"/>
      <c r="B93" s="4"/>
      <c r="C93" s="4">
        <v>25</v>
      </c>
      <c r="D93" s="6" t="s">
        <v>35</v>
      </c>
      <c r="E93" s="9"/>
      <c r="F93" s="9">
        <f>+'Labor Budget'!D36</f>
        <v>30000</v>
      </c>
      <c r="G93" s="9">
        <f t="shared" si="14"/>
        <v>31500</v>
      </c>
      <c r="H93" s="9">
        <f t="shared" si="15"/>
        <v>33075</v>
      </c>
      <c r="I93" s="9">
        <f t="shared" si="16"/>
        <v>34728.75</v>
      </c>
      <c r="J93" s="9">
        <f t="shared" si="17"/>
        <v>36465.1875</v>
      </c>
      <c r="K93" s="10">
        <f t="shared" si="13"/>
        <v>165768.9375</v>
      </c>
      <c r="L93" s="10"/>
      <c r="M93" s="177"/>
    </row>
    <row r="94" spans="1:13" ht="15.75">
      <c r="A94" s="4"/>
      <c r="B94" s="4"/>
      <c r="C94" s="4">
        <v>26</v>
      </c>
      <c r="D94" s="6" t="s">
        <v>36</v>
      </c>
      <c r="E94" s="9"/>
      <c r="F94" s="9">
        <f>+'Labor Budget'!D37</f>
        <v>6000</v>
      </c>
      <c r="G94" s="9">
        <f t="shared" si="14"/>
        <v>6300</v>
      </c>
      <c r="H94" s="9">
        <f t="shared" si="15"/>
        <v>6615</v>
      </c>
      <c r="I94" s="9">
        <f t="shared" si="16"/>
        <v>6945.75</v>
      </c>
      <c r="J94" s="9">
        <f t="shared" si="17"/>
        <v>7293.0375</v>
      </c>
      <c r="K94" s="10">
        <f t="shared" si="13"/>
        <v>33153.7875</v>
      </c>
      <c r="L94" s="10"/>
      <c r="M94" s="177"/>
    </row>
    <row r="95" spans="1:13" ht="15.75">
      <c r="A95" s="4"/>
      <c r="B95" s="4"/>
      <c r="C95" s="4">
        <v>27</v>
      </c>
      <c r="D95" s="6" t="s">
        <v>37</v>
      </c>
      <c r="E95" s="9"/>
      <c r="F95" s="9">
        <f>+'Labor Budget'!D38</f>
        <v>6000</v>
      </c>
      <c r="G95" s="9">
        <f t="shared" si="14"/>
        <v>6300</v>
      </c>
      <c r="H95" s="9">
        <f t="shared" si="15"/>
        <v>6615</v>
      </c>
      <c r="I95" s="9">
        <f t="shared" si="16"/>
        <v>6945.75</v>
      </c>
      <c r="J95" s="9">
        <f t="shared" si="17"/>
        <v>7293.0375</v>
      </c>
      <c r="K95" s="10">
        <f t="shared" si="13"/>
        <v>33153.7875</v>
      </c>
      <c r="L95" s="10"/>
      <c r="M95" s="177"/>
    </row>
    <row r="96" spans="1:13" ht="15.75">
      <c r="A96" s="4"/>
      <c r="B96" s="4"/>
      <c r="C96" s="4">
        <v>28</v>
      </c>
      <c r="D96" s="6" t="s">
        <v>38</v>
      </c>
      <c r="E96" s="9"/>
      <c r="F96" s="9">
        <f>+'Labor Budget'!D39</f>
        <v>4200</v>
      </c>
      <c r="G96" s="9">
        <f t="shared" si="14"/>
        <v>4410</v>
      </c>
      <c r="H96" s="9">
        <f t="shared" si="15"/>
        <v>4630.5</v>
      </c>
      <c r="I96" s="9">
        <f t="shared" si="16"/>
        <v>4862.025000000001</v>
      </c>
      <c r="J96" s="9">
        <f t="shared" si="17"/>
        <v>5105.126250000001</v>
      </c>
      <c r="K96" s="10">
        <f t="shared" si="13"/>
        <v>23207.651250000003</v>
      </c>
      <c r="L96" s="10"/>
      <c r="M96" s="177"/>
    </row>
    <row r="97" spans="1:13" ht="15.75">
      <c r="A97" s="4"/>
      <c r="B97" s="4"/>
      <c r="C97" s="4">
        <v>29</v>
      </c>
      <c r="D97" s="6" t="s">
        <v>40</v>
      </c>
      <c r="E97" s="9"/>
      <c r="F97" s="9">
        <f>+'Labor Budget'!D40</f>
        <v>4800</v>
      </c>
      <c r="G97" s="9">
        <f t="shared" si="14"/>
        <v>5040</v>
      </c>
      <c r="H97" s="9">
        <f t="shared" si="15"/>
        <v>5292</v>
      </c>
      <c r="I97" s="9">
        <f t="shared" si="16"/>
        <v>5556.6</v>
      </c>
      <c r="J97" s="9">
        <f t="shared" si="17"/>
        <v>5834.43</v>
      </c>
      <c r="K97" s="10">
        <f t="shared" si="13"/>
        <v>26523.03</v>
      </c>
      <c r="L97" s="10"/>
      <c r="M97" s="177"/>
    </row>
    <row r="98" spans="1:13" ht="15.75">
      <c r="A98" s="4"/>
      <c r="B98" s="4"/>
      <c r="C98" s="4">
        <v>30</v>
      </c>
      <c r="D98" s="6" t="s">
        <v>41</v>
      </c>
      <c r="E98" s="9"/>
      <c r="F98" s="9">
        <f>+'Labor Budget'!D41</f>
        <v>4800</v>
      </c>
      <c r="G98" s="9">
        <f t="shared" si="14"/>
        <v>5040</v>
      </c>
      <c r="H98" s="9">
        <f t="shared" si="15"/>
        <v>5292</v>
      </c>
      <c r="I98" s="9">
        <f t="shared" si="16"/>
        <v>5556.6</v>
      </c>
      <c r="J98" s="9">
        <f t="shared" si="17"/>
        <v>5834.43</v>
      </c>
      <c r="K98" s="10">
        <f t="shared" si="13"/>
        <v>26523.03</v>
      </c>
      <c r="L98" s="10"/>
      <c r="M98" s="177"/>
    </row>
    <row r="99" spans="1:13" ht="15.75">
      <c r="A99" s="4"/>
      <c r="B99" s="4"/>
      <c r="C99" s="4">
        <v>31</v>
      </c>
      <c r="D99" s="6" t="s">
        <v>42</v>
      </c>
      <c r="E99" s="9"/>
      <c r="F99" s="9">
        <f>+'Labor Budget'!D42</f>
        <v>4800</v>
      </c>
      <c r="G99" s="9">
        <f t="shared" si="14"/>
        <v>5040</v>
      </c>
      <c r="H99" s="9">
        <f t="shared" si="15"/>
        <v>5292</v>
      </c>
      <c r="I99" s="9">
        <f t="shared" si="16"/>
        <v>5556.6</v>
      </c>
      <c r="J99" s="9">
        <f t="shared" si="17"/>
        <v>5834.43</v>
      </c>
      <c r="K99" s="10">
        <f t="shared" si="13"/>
        <v>26523.03</v>
      </c>
      <c r="L99" s="10"/>
      <c r="M99" s="177"/>
    </row>
    <row r="100" spans="1:13" ht="15.75">
      <c r="A100" s="4"/>
      <c r="B100" s="4"/>
      <c r="C100" s="4">
        <v>32</v>
      </c>
      <c r="D100" s="6" t="s">
        <v>43</v>
      </c>
      <c r="E100" s="9"/>
      <c r="F100" s="9">
        <f>+'Labor Budget'!D43</f>
        <v>4800</v>
      </c>
      <c r="G100" s="9">
        <f t="shared" si="14"/>
        <v>5040</v>
      </c>
      <c r="H100" s="9">
        <f t="shared" si="15"/>
        <v>5292</v>
      </c>
      <c r="I100" s="9">
        <f t="shared" si="16"/>
        <v>5556.6</v>
      </c>
      <c r="J100" s="9">
        <f t="shared" si="17"/>
        <v>5834.43</v>
      </c>
      <c r="K100" s="10">
        <f t="shared" si="13"/>
        <v>26523.03</v>
      </c>
      <c r="L100" s="10"/>
      <c r="M100" s="177"/>
    </row>
    <row r="101" spans="1:13" ht="15.75">
      <c r="A101" s="4"/>
      <c r="B101" s="4"/>
      <c r="C101" s="4">
        <v>33</v>
      </c>
      <c r="D101" s="6" t="s">
        <v>44</v>
      </c>
      <c r="E101" s="9"/>
      <c r="F101" s="9">
        <f>+'Labor Budget'!D44</f>
        <v>4200</v>
      </c>
      <c r="G101" s="9">
        <f t="shared" si="14"/>
        <v>4410</v>
      </c>
      <c r="H101" s="9">
        <f t="shared" si="15"/>
        <v>4630.5</v>
      </c>
      <c r="I101" s="9">
        <f t="shared" si="16"/>
        <v>4862.025000000001</v>
      </c>
      <c r="J101" s="9">
        <f t="shared" si="17"/>
        <v>5105.126250000001</v>
      </c>
      <c r="K101" s="10">
        <f t="shared" si="13"/>
        <v>23207.651250000003</v>
      </c>
      <c r="L101" s="10"/>
      <c r="M101" s="177"/>
    </row>
    <row r="102" spans="1:13" ht="15.75">
      <c r="A102" s="4"/>
      <c r="B102" s="4"/>
      <c r="C102" s="4">
        <v>34</v>
      </c>
      <c r="D102" s="6" t="s">
        <v>45</v>
      </c>
      <c r="E102" s="9"/>
      <c r="F102" s="9">
        <f>+'Labor Budget'!D45</f>
        <v>4200</v>
      </c>
      <c r="G102" s="9">
        <f t="shared" si="14"/>
        <v>4410</v>
      </c>
      <c r="H102" s="9">
        <f t="shared" si="15"/>
        <v>4630.5</v>
      </c>
      <c r="I102" s="9">
        <f t="shared" si="16"/>
        <v>4862.025000000001</v>
      </c>
      <c r="J102" s="9">
        <f t="shared" si="17"/>
        <v>5105.126250000001</v>
      </c>
      <c r="K102" s="10">
        <f t="shared" si="13"/>
        <v>23207.651250000003</v>
      </c>
      <c r="L102" s="10"/>
      <c r="M102" s="177"/>
    </row>
    <row r="103" spans="1:13" ht="15.75">
      <c r="A103" s="4"/>
      <c r="B103" s="4"/>
      <c r="C103" s="4">
        <v>35</v>
      </c>
      <c r="D103" s="6" t="s">
        <v>46</v>
      </c>
      <c r="E103" s="9"/>
      <c r="F103" s="9">
        <f>+'Labor Budget'!D46</f>
        <v>6000</v>
      </c>
      <c r="G103" s="9">
        <f t="shared" si="14"/>
        <v>6300</v>
      </c>
      <c r="H103" s="9">
        <f t="shared" si="15"/>
        <v>6615</v>
      </c>
      <c r="I103" s="9">
        <f t="shared" si="16"/>
        <v>6945.75</v>
      </c>
      <c r="J103" s="9">
        <f t="shared" si="17"/>
        <v>7293.0375</v>
      </c>
      <c r="K103" s="10">
        <f t="shared" si="13"/>
        <v>33153.7875</v>
      </c>
      <c r="L103" s="10"/>
      <c r="M103" s="177"/>
    </row>
    <row r="104" spans="1:13" ht="15.75">
      <c r="A104" s="4"/>
      <c r="B104" s="4"/>
      <c r="C104" s="4">
        <v>36</v>
      </c>
      <c r="D104" s="6" t="s">
        <v>47</v>
      </c>
      <c r="E104" s="9"/>
      <c r="F104" s="9">
        <f>+'Labor Budget'!D47</f>
        <v>4800</v>
      </c>
      <c r="G104" s="9">
        <f t="shared" si="14"/>
        <v>5040</v>
      </c>
      <c r="H104" s="9">
        <f t="shared" si="15"/>
        <v>5292</v>
      </c>
      <c r="I104" s="9">
        <f t="shared" si="16"/>
        <v>5556.6</v>
      </c>
      <c r="J104" s="9">
        <f t="shared" si="17"/>
        <v>5834.43</v>
      </c>
      <c r="K104" s="10">
        <f t="shared" si="13"/>
        <v>26523.03</v>
      </c>
      <c r="L104" s="10"/>
      <c r="M104" s="177"/>
    </row>
    <row r="105" spans="1:13" ht="15.75">
      <c r="A105" s="4"/>
      <c r="B105" s="4"/>
      <c r="C105" s="4">
        <v>37</v>
      </c>
      <c r="D105" s="6" t="s">
        <v>48</v>
      </c>
      <c r="E105" s="9"/>
      <c r="F105" s="9">
        <f>+'Labor Budget'!D48</f>
        <v>4800</v>
      </c>
      <c r="G105" s="9">
        <f t="shared" si="14"/>
        <v>5040</v>
      </c>
      <c r="H105" s="9">
        <f t="shared" si="15"/>
        <v>5292</v>
      </c>
      <c r="I105" s="9">
        <f t="shared" si="16"/>
        <v>5556.6</v>
      </c>
      <c r="J105" s="9">
        <f t="shared" si="17"/>
        <v>5834.43</v>
      </c>
      <c r="K105" s="10">
        <f t="shared" si="13"/>
        <v>26523.03</v>
      </c>
      <c r="L105" s="10"/>
      <c r="M105" s="177"/>
    </row>
    <row r="106" spans="1:13" ht="15.75">
      <c r="A106" s="4"/>
      <c r="B106" s="4"/>
      <c r="C106" s="4">
        <v>38</v>
      </c>
      <c r="D106" s="6" t="s">
        <v>49</v>
      </c>
      <c r="E106" s="9"/>
      <c r="F106" s="9">
        <f>+'Labor Budget'!D49</f>
        <v>3600</v>
      </c>
      <c r="G106" s="9">
        <f t="shared" si="14"/>
        <v>3780</v>
      </c>
      <c r="H106" s="9">
        <f t="shared" si="15"/>
        <v>3969</v>
      </c>
      <c r="I106" s="9">
        <f t="shared" si="16"/>
        <v>4167.45</v>
      </c>
      <c r="J106" s="9">
        <f t="shared" si="17"/>
        <v>4375.8225</v>
      </c>
      <c r="K106" s="10">
        <f t="shared" si="13"/>
        <v>19892.2725</v>
      </c>
      <c r="L106" s="10"/>
      <c r="M106" s="177"/>
    </row>
    <row r="107" spans="1:13" ht="15.75">
      <c r="A107" s="4"/>
      <c r="B107" s="4"/>
      <c r="C107" s="4">
        <v>39</v>
      </c>
      <c r="D107" s="6" t="s">
        <v>50</v>
      </c>
      <c r="E107" s="9"/>
      <c r="F107" s="9">
        <f>+'Labor Budget'!D50</f>
        <v>3600</v>
      </c>
      <c r="G107" s="9">
        <f t="shared" si="14"/>
        <v>3780</v>
      </c>
      <c r="H107" s="9">
        <f t="shared" si="15"/>
        <v>3969</v>
      </c>
      <c r="I107" s="9">
        <f t="shared" si="16"/>
        <v>4167.45</v>
      </c>
      <c r="J107" s="9">
        <f t="shared" si="17"/>
        <v>4375.8225</v>
      </c>
      <c r="K107" s="10">
        <f t="shared" si="13"/>
        <v>19892.2725</v>
      </c>
      <c r="L107" s="10"/>
      <c r="M107" s="177"/>
    </row>
    <row r="108" spans="1:13" ht="15">
      <c r="A108" s="4"/>
      <c r="B108" s="4"/>
      <c r="C108" s="4"/>
      <c r="D108" s="3" t="s">
        <v>512</v>
      </c>
      <c r="E108" s="9"/>
      <c r="F108" s="12">
        <f>SUM(F69:F107)</f>
        <v>455200</v>
      </c>
      <c r="G108" s="12">
        <f>SUM(G69:G107)</f>
        <v>477960</v>
      </c>
      <c r="H108" s="12">
        <f>SUM(H69:H107)</f>
        <v>501858</v>
      </c>
      <c r="I108" s="12">
        <f>SUM(I69:I107)</f>
        <v>526950.8999999998</v>
      </c>
      <c r="J108" s="12">
        <f>SUM(J69:J107)</f>
        <v>553298.4449999998</v>
      </c>
      <c r="K108" s="13">
        <f t="shared" si="13"/>
        <v>2515267.3449999997</v>
      </c>
      <c r="L108" s="10">
        <f>SUM(K69:K107)</f>
        <v>2515267.345</v>
      </c>
      <c r="M108" s="177"/>
    </row>
    <row r="109" spans="1:12" ht="15">
      <c r="A109" s="4"/>
      <c r="B109" s="4" t="s">
        <v>126</v>
      </c>
      <c r="C109" s="4">
        <v>1</v>
      </c>
      <c r="D109" s="4" t="s">
        <v>167</v>
      </c>
      <c r="E109" s="9"/>
      <c r="F109" s="9">
        <f>+F108*0.1</f>
        <v>45520</v>
      </c>
      <c r="G109" s="9">
        <f>+G108*0.1</f>
        <v>47796</v>
      </c>
      <c r="H109" s="9">
        <f>+H108*0.1</f>
        <v>50185.8</v>
      </c>
      <c r="I109" s="9">
        <f>+I108*0.1</f>
        <v>52695.08999999998</v>
      </c>
      <c r="J109" s="9">
        <f>+J108*0.1</f>
        <v>55329.844499999985</v>
      </c>
      <c r="K109" s="10">
        <f t="shared" si="13"/>
        <v>251526.73449999993</v>
      </c>
      <c r="L109" s="10"/>
    </row>
    <row r="110" spans="1:12" ht="15">
      <c r="A110" s="4"/>
      <c r="B110" s="4"/>
      <c r="C110" s="4">
        <v>2</v>
      </c>
      <c r="D110" s="4" t="s">
        <v>168</v>
      </c>
      <c r="E110" s="9">
        <f>200*12+500*12*2</f>
        <v>14400</v>
      </c>
      <c r="F110" s="9">
        <v>15000</v>
      </c>
      <c r="G110" s="9">
        <v>15000</v>
      </c>
      <c r="H110" s="9">
        <v>15000</v>
      </c>
      <c r="I110" s="9">
        <v>15000</v>
      </c>
      <c r="J110" s="9">
        <v>15000</v>
      </c>
      <c r="K110" s="10">
        <f t="shared" si="13"/>
        <v>75000</v>
      </c>
      <c r="L110" s="10"/>
    </row>
    <row r="111" spans="1:12" ht="15">
      <c r="A111" s="4"/>
      <c r="B111" s="4"/>
      <c r="C111" s="4">
        <v>3</v>
      </c>
      <c r="D111" s="4" t="s">
        <v>169</v>
      </c>
      <c r="E111" s="9"/>
      <c r="F111" s="9">
        <f>SUM(+F108-F69-F70)*0.1</f>
        <v>27420</v>
      </c>
      <c r="G111" s="9">
        <f>SUM(+G108-G69-G70)*0.1</f>
        <v>28791</v>
      </c>
      <c r="H111" s="9">
        <f>SUM(+H108-H69-H70)*0.1</f>
        <v>30230.550000000003</v>
      </c>
      <c r="I111" s="9">
        <f>SUM(+I108-I69-I70)*0.1</f>
        <v>31742.07749999998</v>
      </c>
      <c r="J111" s="9">
        <f>SUM(+J108-J69-J70)*0.1</f>
        <v>33329.181374999986</v>
      </c>
      <c r="K111" s="10">
        <f t="shared" si="13"/>
        <v>151512.808875</v>
      </c>
      <c r="L111" s="10"/>
    </row>
    <row r="112" spans="1:12" ht="15">
      <c r="A112" s="4"/>
      <c r="B112" s="4"/>
      <c r="C112" s="4">
        <v>4</v>
      </c>
      <c r="D112" s="4" t="s">
        <v>170</v>
      </c>
      <c r="E112" s="9"/>
      <c r="F112" s="9">
        <f>0.05*F108</f>
        <v>22760</v>
      </c>
      <c r="G112" s="9">
        <f>0.05*G108</f>
        <v>23898</v>
      </c>
      <c r="H112" s="9">
        <f>0.05*H108</f>
        <v>25092.9</v>
      </c>
      <c r="I112" s="9">
        <f>0.05*I108</f>
        <v>26347.54499999999</v>
      </c>
      <c r="J112" s="9">
        <f>0.05*J108</f>
        <v>27664.922249999992</v>
      </c>
      <c r="K112" s="10">
        <f t="shared" si="13"/>
        <v>125763.36724999997</v>
      </c>
      <c r="L112" s="10"/>
    </row>
    <row r="113" spans="1:12" ht="15">
      <c r="A113" s="4"/>
      <c r="B113" s="4"/>
      <c r="C113" s="4"/>
      <c r="D113" s="3" t="s">
        <v>650</v>
      </c>
      <c r="E113" s="12"/>
      <c r="F113" s="12">
        <f>SUM(F109:F112)</f>
        <v>110700</v>
      </c>
      <c r="G113" s="12">
        <f>SUM(G109:G112)</f>
        <v>115485</v>
      </c>
      <c r="H113" s="12">
        <f>SUM(H109:H112)</f>
        <v>120509.25</v>
      </c>
      <c r="I113" s="12">
        <f>SUM(I109:I112)</f>
        <v>125784.71249999997</v>
      </c>
      <c r="J113" s="12">
        <f>SUM(J109:J112)</f>
        <v>131323.94812499997</v>
      </c>
      <c r="K113" s="13">
        <f t="shared" si="13"/>
        <v>603802.9106249999</v>
      </c>
      <c r="L113" s="10">
        <f>SUM(K109:K112)</f>
        <v>603802.9106249999</v>
      </c>
    </row>
    <row r="114" spans="1:12" ht="15">
      <c r="A114" s="4">
        <v>25</v>
      </c>
      <c r="B114" s="4"/>
      <c r="C114" s="4"/>
      <c r="D114" s="3" t="s">
        <v>166</v>
      </c>
      <c r="E114" s="9"/>
      <c r="F114" s="9"/>
      <c r="G114" s="9"/>
      <c r="H114" s="9"/>
      <c r="I114" s="9"/>
      <c r="J114" s="9"/>
      <c r="K114" s="10"/>
      <c r="L114" s="10"/>
    </row>
    <row r="115" spans="1:12" ht="15">
      <c r="A115" s="4"/>
      <c r="B115" t="s">
        <v>124</v>
      </c>
      <c r="C115" s="4"/>
      <c r="D115" s="4" t="s">
        <v>171</v>
      </c>
      <c r="E115" s="9">
        <f>1000*3*12</f>
        <v>36000</v>
      </c>
      <c r="F115" s="9">
        <v>50000</v>
      </c>
      <c r="G115" s="9">
        <v>50000</v>
      </c>
      <c r="H115" s="9">
        <v>50000</v>
      </c>
      <c r="I115" s="9">
        <v>50000</v>
      </c>
      <c r="J115" s="9">
        <v>50000</v>
      </c>
      <c r="K115" s="10">
        <f t="shared" si="13"/>
        <v>250000</v>
      </c>
      <c r="L115" s="10"/>
    </row>
    <row r="116" spans="1:12" ht="15">
      <c r="A116" s="4"/>
      <c r="B116" t="s">
        <v>126</v>
      </c>
      <c r="C116" s="4"/>
      <c r="D116" s="4" t="s">
        <v>172</v>
      </c>
      <c r="E116" s="9">
        <f>40*2.5*233</f>
        <v>23300</v>
      </c>
      <c r="F116" s="9">
        <v>30000</v>
      </c>
      <c r="G116" s="9">
        <v>30000</v>
      </c>
      <c r="H116" s="9">
        <v>30000</v>
      </c>
      <c r="I116" s="9">
        <v>30000</v>
      </c>
      <c r="J116" s="9">
        <v>30000</v>
      </c>
      <c r="K116" s="10">
        <f t="shared" si="13"/>
        <v>150000</v>
      </c>
      <c r="L116" s="10"/>
    </row>
    <row r="117" spans="1:12" ht="15">
      <c r="A117" s="4"/>
      <c r="B117" s="4" t="s">
        <v>128</v>
      </c>
      <c r="C117" s="4"/>
      <c r="D117" s="4" t="s">
        <v>173</v>
      </c>
      <c r="E117" s="9">
        <f>25*2.5*365</f>
        <v>22812.5</v>
      </c>
      <c r="F117" s="9">
        <v>24000</v>
      </c>
      <c r="G117" s="9">
        <v>24000</v>
      </c>
      <c r="H117" s="9">
        <v>24000</v>
      </c>
      <c r="I117" s="9">
        <v>24000</v>
      </c>
      <c r="J117" s="9">
        <v>24000</v>
      </c>
      <c r="K117" s="10">
        <f t="shared" si="13"/>
        <v>120000</v>
      </c>
      <c r="L117" s="10"/>
    </row>
    <row r="118" spans="1:12" ht="15">
      <c r="A118" s="4"/>
      <c r="B118" s="4" t="s">
        <v>130</v>
      </c>
      <c r="C118" s="4"/>
      <c r="D118" s="4" t="s">
        <v>174</v>
      </c>
      <c r="E118" s="9">
        <f>25*2.5*365</f>
        <v>22812.5</v>
      </c>
      <c r="F118" s="9">
        <v>24000</v>
      </c>
      <c r="G118" s="9">
        <v>24000</v>
      </c>
      <c r="H118" s="9">
        <v>24000</v>
      </c>
      <c r="I118" s="9">
        <v>24000</v>
      </c>
      <c r="J118" s="9">
        <v>24000</v>
      </c>
      <c r="K118" s="10">
        <f t="shared" si="13"/>
        <v>120000</v>
      </c>
      <c r="L118" s="10"/>
    </row>
    <row r="119" spans="1:12" ht="15">
      <c r="A119" s="4"/>
      <c r="B119" s="4" t="s">
        <v>132</v>
      </c>
      <c r="C119" s="4"/>
      <c r="D119" s="4" t="s">
        <v>513</v>
      </c>
      <c r="E119" s="9">
        <v>250000</v>
      </c>
      <c r="F119" s="9">
        <v>125000</v>
      </c>
      <c r="G119" s="9">
        <v>75000</v>
      </c>
      <c r="H119" s="9">
        <v>50000</v>
      </c>
      <c r="I119" s="9">
        <v>0</v>
      </c>
      <c r="J119" s="9">
        <v>0</v>
      </c>
      <c r="K119" s="10">
        <f t="shared" si="13"/>
        <v>250000</v>
      </c>
      <c r="L119" s="10"/>
    </row>
    <row r="120" spans="1:12" ht="15">
      <c r="A120" s="4"/>
      <c r="B120" s="4" t="s">
        <v>134</v>
      </c>
      <c r="C120" s="4"/>
      <c r="D120" s="4" t="s">
        <v>175</v>
      </c>
      <c r="E120" s="9" t="s">
        <v>80</v>
      </c>
      <c r="F120" s="9">
        <f>1000*2.5*12</f>
        <v>30000</v>
      </c>
      <c r="G120" s="9">
        <f>1000*2.5*12</f>
        <v>30000</v>
      </c>
      <c r="H120" s="9">
        <f>1000*2.5*12</f>
        <v>30000</v>
      </c>
      <c r="I120" s="9">
        <f>1000*2.5*12</f>
        <v>30000</v>
      </c>
      <c r="J120" s="9">
        <f>1000*2.5*12</f>
        <v>30000</v>
      </c>
      <c r="K120" s="10">
        <f t="shared" si="13"/>
        <v>150000</v>
      </c>
      <c r="L120" s="10"/>
    </row>
    <row r="121" spans="1:12" ht="15">
      <c r="A121" s="4"/>
      <c r="B121" s="4" t="s">
        <v>137</v>
      </c>
      <c r="C121" s="4"/>
      <c r="D121" s="4" t="s">
        <v>176</v>
      </c>
      <c r="E121" s="9" t="s">
        <v>80</v>
      </c>
      <c r="F121" s="9">
        <v>1500</v>
      </c>
      <c r="G121" s="9"/>
      <c r="H121" s="9"/>
      <c r="I121" s="9"/>
      <c r="J121" s="9"/>
      <c r="K121" s="10">
        <f t="shared" si="13"/>
        <v>1500</v>
      </c>
      <c r="L121" s="10"/>
    </row>
    <row r="122" spans="1:12" ht="15">
      <c r="A122" s="4"/>
      <c r="B122" s="4" t="s">
        <v>139</v>
      </c>
      <c r="C122" s="4"/>
      <c r="D122" s="4" t="s">
        <v>178</v>
      </c>
      <c r="E122" s="9" t="s">
        <v>80</v>
      </c>
      <c r="F122" s="9">
        <v>12000</v>
      </c>
      <c r="G122" s="9">
        <v>12000</v>
      </c>
      <c r="H122" s="9">
        <v>12000</v>
      </c>
      <c r="I122" s="9">
        <v>12000</v>
      </c>
      <c r="J122" s="9">
        <v>12000</v>
      </c>
      <c r="K122" s="10">
        <f t="shared" si="13"/>
        <v>60000</v>
      </c>
      <c r="L122" s="10"/>
    </row>
    <row r="123" spans="1:12" ht="15">
      <c r="A123" s="4"/>
      <c r="B123" s="4" t="s">
        <v>141</v>
      </c>
      <c r="C123" s="4"/>
      <c r="D123" s="4" t="s">
        <v>180</v>
      </c>
      <c r="E123" s="9">
        <f>125*12</f>
        <v>1500</v>
      </c>
      <c r="F123" s="9">
        <v>2000</v>
      </c>
      <c r="G123" s="9">
        <v>2000</v>
      </c>
      <c r="H123" s="9">
        <v>2000</v>
      </c>
      <c r="I123" s="9">
        <v>2000</v>
      </c>
      <c r="J123" s="9">
        <v>2000</v>
      </c>
      <c r="K123" s="10">
        <f t="shared" si="13"/>
        <v>10000</v>
      </c>
      <c r="L123" s="10"/>
    </row>
    <row r="124" spans="1:12" ht="15">
      <c r="A124" s="4"/>
      <c r="B124" s="4" t="s">
        <v>177</v>
      </c>
      <c r="C124" s="4"/>
      <c r="D124" s="4" t="s">
        <v>182</v>
      </c>
      <c r="E124" s="9">
        <v>2000</v>
      </c>
      <c r="F124" s="9">
        <v>2000</v>
      </c>
      <c r="G124" s="9">
        <v>2000</v>
      </c>
      <c r="H124" s="9">
        <v>2000</v>
      </c>
      <c r="I124" s="9">
        <v>2000</v>
      </c>
      <c r="J124" s="9">
        <v>2000</v>
      </c>
      <c r="K124" s="10">
        <f t="shared" si="13"/>
        <v>10000</v>
      </c>
      <c r="L124" s="10"/>
    </row>
    <row r="125" spans="1:12" ht="15">
      <c r="A125" s="4"/>
      <c r="B125" s="4" t="s">
        <v>179</v>
      </c>
      <c r="C125" s="4"/>
      <c r="D125" s="4" t="s">
        <v>184</v>
      </c>
      <c r="E125" s="9">
        <v>7500</v>
      </c>
      <c r="F125" s="9">
        <v>7500</v>
      </c>
      <c r="G125" s="9">
        <v>7500</v>
      </c>
      <c r="H125" s="9">
        <v>7500</v>
      </c>
      <c r="I125" s="9">
        <v>7500</v>
      </c>
      <c r="J125" s="9">
        <v>7500</v>
      </c>
      <c r="K125" s="10">
        <f t="shared" si="13"/>
        <v>37500</v>
      </c>
      <c r="L125" s="10"/>
    </row>
    <row r="126" spans="1:12" ht="15">
      <c r="A126" s="4"/>
      <c r="B126" s="4" t="s">
        <v>181</v>
      </c>
      <c r="C126" s="4"/>
      <c r="D126" s="4" t="s">
        <v>186</v>
      </c>
      <c r="E126" s="9">
        <f>6*1000</f>
        <v>6000</v>
      </c>
      <c r="F126" s="9">
        <v>3000</v>
      </c>
      <c r="G126" s="10">
        <v>3000</v>
      </c>
      <c r="H126" s="10"/>
      <c r="I126" s="10"/>
      <c r="J126" s="10"/>
      <c r="K126" s="10">
        <f t="shared" si="13"/>
        <v>6000</v>
      </c>
      <c r="L126" s="10"/>
    </row>
    <row r="127" spans="1:12" ht="15">
      <c r="A127" s="4"/>
      <c r="B127" s="4" t="s">
        <v>183</v>
      </c>
      <c r="C127" s="4"/>
      <c r="D127" s="4" t="s">
        <v>188</v>
      </c>
      <c r="E127" s="9"/>
      <c r="F127" s="9">
        <v>3000</v>
      </c>
      <c r="G127" s="10">
        <v>3000</v>
      </c>
      <c r="H127" s="10"/>
      <c r="I127" s="10"/>
      <c r="J127" s="10"/>
      <c r="K127" s="10">
        <f t="shared" si="13"/>
        <v>6000</v>
      </c>
      <c r="L127" s="10"/>
    </row>
    <row r="128" spans="1:12" ht="15">
      <c r="A128" s="4"/>
      <c r="B128" s="4" t="s">
        <v>185</v>
      </c>
      <c r="C128" s="4"/>
      <c r="D128" s="4" t="s">
        <v>190</v>
      </c>
      <c r="E128" s="9">
        <f>10*250</f>
        <v>2500</v>
      </c>
      <c r="F128" s="9">
        <v>1500</v>
      </c>
      <c r="G128" s="10">
        <v>1000</v>
      </c>
      <c r="H128" s="10"/>
      <c r="I128" s="10"/>
      <c r="J128" s="10"/>
      <c r="K128" s="10">
        <f t="shared" si="13"/>
        <v>2500</v>
      </c>
      <c r="L128" s="10"/>
    </row>
    <row r="129" spans="1:12" ht="15">
      <c r="A129" s="4"/>
      <c r="B129" s="4" t="s">
        <v>187</v>
      </c>
      <c r="C129" s="4"/>
      <c r="D129" s="4" t="s">
        <v>192</v>
      </c>
      <c r="E129" s="9" t="s">
        <v>80</v>
      </c>
      <c r="F129" s="9">
        <v>3000</v>
      </c>
      <c r="G129" s="9">
        <v>3000</v>
      </c>
      <c r="H129" s="9">
        <v>3000</v>
      </c>
      <c r="I129" s="9">
        <v>3000</v>
      </c>
      <c r="J129" s="9">
        <v>3000</v>
      </c>
      <c r="K129" s="10">
        <f t="shared" si="13"/>
        <v>15000</v>
      </c>
      <c r="L129" s="10"/>
    </row>
    <row r="130" spans="1:12" ht="15">
      <c r="A130" s="4"/>
      <c r="B130" s="4" t="s">
        <v>189</v>
      </c>
      <c r="C130" s="4"/>
      <c r="D130" s="4" t="s">
        <v>194</v>
      </c>
      <c r="E130" s="9" t="s">
        <v>80</v>
      </c>
      <c r="F130" s="9">
        <v>1000</v>
      </c>
      <c r="G130" s="9">
        <v>1000</v>
      </c>
      <c r="H130" s="9">
        <v>1000</v>
      </c>
      <c r="I130" s="9">
        <v>1000</v>
      </c>
      <c r="J130" s="9">
        <v>1000</v>
      </c>
      <c r="K130" s="10">
        <f t="shared" si="13"/>
        <v>5000</v>
      </c>
      <c r="L130" s="10"/>
    </row>
    <row r="131" spans="1:12" ht="15">
      <c r="A131" s="4"/>
      <c r="B131" s="4" t="s">
        <v>191</v>
      </c>
      <c r="C131" s="4"/>
      <c r="D131" s="4" t="s">
        <v>195</v>
      </c>
      <c r="E131" s="9" t="s">
        <v>80</v>
      </c>
      <c r="F131" s="9">
        <v>2500</v>
      </c>
      <c r="G131" s="10">
        <v>1000</v>
      </c>
      <c r="H131" s="10">
        <v>1000</v>
      </c>
      <c r="I131" s="10">
        <v>1000</v>
      </c>
      <c r="J131" s="10">
        <v>1000</v>
      </c>
      <c r="K131" s="10">
        <f t="shared" si="13"/>
        <v>6500</v>
      </c>
      <c r="L131" s="10"/>
    </row>
    <row r="132" spans="1:12" ht="15">
      <c r="A132" s="4"/>
      <c r="B132" s="4" t="s">
        <v>193</v>
      </c>
      <c r="C132" s="4"/>
      <c r="D132" s="4" t="s">
        <v>196</v>
      </c>
      <c r="E132" s="9"/>
      <c r="F132" s="9">
        <v>50000</v>
      </c>
      <c r="G132" s="9">
        <v>50000</v>
      </c>
      <c r="H132" s="9">
        <v>50000</v>
      </c>
      <c r="I132" s="9">
        <v>50000</v>
      </c>
      <c r="J132" s="9">
        <v>50000</v>
      </c>
      <c r="K132" s="10">
        <f t="shared" si="13"/>
        <v>250000</v>
      </c>
      <c r="L132" s="10"/>
    </row>
    <row r="133" spans="1:12" ht="15">
      <c r="A133" s="4"/>
      <c r="B133" s="4"/>
      <c r="C133" s="4"/>
      <c r="D133" s="4"/>
      <c r="E133" s="9"/>
      <c r="F133" s="9"/>
      <c r="G133" s="10"/>
      <c r="H133" s="10"/>
      <c r="I133" s="10"/>
      <c r="J133" s="10"/>
      <c r="K133" s="10"/>
      <c r="L133" s="10"/>
    </row>
    <row r="134" spans="1:12" ht="15">
      <c r="A134" s="4"/>
      <c r="B134" s="4"/>
      <c r="C134" s="4"/>
      <c r="D134" s="4" t="s">
        <v>197</v>
      </c>
      <c r="E134" s="9"/>
      <c r="F134" s="45">
        <f>SUM(F11:F132)-F108-F21-F33-F113-F37-F25</f>
        <v>45098038.9961157</v>
      </c>
      <c r="G134" s="45">
        <f>SUM(G11:G132)-G108-G21-G33-G113-G37-G25</f>
        <v>45098040</v>
      </c>
      <c r="H134" s="45">
        <f>SUM(H11:H132)-H108-H21-H33-H113-H37-H25</f>
        <v>45098038.99999999</v>
      </c>
      <c r="I134" s="45">
        <f>SUM(I11:I132)-I108-I21-I33-I113-I37-I25</f>
        <v>45098039.550000034</v>
      </c>
      <c r="J134" s="45">
        <f>SUM(J11:J132)-J108-J21-J33-J113-J37-J25</f>
        <v>45098039.02749998</v>
      </c>
      <c r="K134" s="46">
        <f>SUM(F134:J134)</f>
        <v>225490196.5736157</v>
      </c>
      <c r="L134" s="10">
        <f>SUM(K11:K132)-K108-K33-K21-K113-K37-K25</f>
        <v>225490196.57361576</v>
      </c>
    </row>
    <row r="135" spans="1:12" ht="15">
      <c r="A135" s="4"/>
      <c r="B135" s="4"/>
      <c r="C135" s="4"/>
      <c r="D135" s="4"/>
      <c r="E135" s="9"/>
      <c r="F135" s="9"/>
      <c r="G135" s="10"/>
      <c r="H135" s="10"/>
      <c r="I135" s="10"/>
      <c r="J135" s="10"/>
      <c r="K135" s="10"/>
      <c r="L135" s="10"/>
    </row>
    <row r="136" spans="1:12" ht="15.75">
      <c r="A136" s="4">
        <v>26</v>
      </c>
      <c r="B136" s="4"/>
      <c r="C136" s="4"/>
      <c r="D136" s="6" t="s">
        <v>198</v>
      </c>
      <c r="E136" s="9"/>
      <c r="F136" s="47">
        <f>0.02*F134+0.22</f>
        <v>901960.999922314</v>
      </c>
      <c r="G136" s="47">
        <f>0.02*G134-0.8</f>
        <v>901960</v>
      </c>
      <c r="H136" s="47">
        <f>0.02*H134+0.22</f>
        <v>901960.9999999999</v>
      </c>
      <c r="I136" s="47">
        <f>0.02*I134-0.34</f>
        <v>901960.4510000007</v>
      </c>
      <c r="J136" s="47">
        <f>0.02*J134+0.19</f>
        <v>901960.9705499996</v>
      </c>
      <c r="K136" s="10">
        <f t="shared" si="13"/>
        <v>4509803.421472314</v>
      </c>
      <c r="L136" s="10">
        <f>SUM(F136:J136)</f>
        <v>4509803.421472314</v>
      </c>
    </row>
    <row r="137" spans="1:12" ht="15">
      <c r="A137" s="4">
        <v>27</v>
      </c>
      <c r="B137" s="4"/>
      <c r="C137" s="4"/>
      <c r="D137" s="4" t="s">
        <v>199</v>
      </c>
      <c r="E137" s="9"/>
      <c r="F137" s="9">
        <v>0</v>
      </c>
      <c r="G137" s="9">
        <v>-200000</v>
      </c>
      <c r="H137" s="9">
        <v>-300000</v>
      </c>
      <c r="I137" s="9">
        <v>-425000</v>
      </c>
      <c r="J137" s="9">
        <v>-450000</v>
      </c>
      <c r="K137" s="10">
        <f t="shared" si="13"/>
        <v>-1375000</v>
      </c>
      <c r="L137" s="10"/>
    </row>
    <row r="138" spans="1:12" ht="15.75">
      <c r="A138" s="4">
        <v>28</v>
      </c>
      <c r="B138" s="4"/>
      <c r="C138" s="4"/>
      <c r="D138" s="4" t="s">
        <v>200</v>
      </c>
      <c r="E138" s="31"/>
      <c r="F138" s="48">
        <f aca="true" t="shared" si="18" ref="F138:K138">SUM(F136:F137)</f>
        <v>901960.999922314</v>
      </c>
      <c r="G138" s="48">
        <f t="shared" si="18"/>
        <v>701960</v>
      </c>
      <c r="H138" s="48">
        <f t="shared" si="18"/>
        <v>601960.9999999999</v>
      </c>
      <c r="I138" s="48">
        <f t="shared" si="18"/>
        <v>476960.4510000007</v>
      </c>
      <c r="J138" s="48">
        <f t="shared" si="18"/>
        <v>451960.9705499996</v>
      </c>
      <c r="K138" s="48">
        <f t="shared" si="18"/>
        <v>3134803.421472314</v>
      </c>
      <c r="L138" s="10">
        <f>+K136</f>
        <v>4509803.421472314</v>
      </c>
    </row>
    <row r="139" spans="1:11" ht="15">
      <c r="A139" s="4"/>
      <c r="B139" s="4"/>
      <c r="C139" s="4"/>
      <c r="D139" s="4"/>
      <c r="E139" s="4"/>
      <c r="F139" s="4"/>
      <c r="K139" s="10"/>
    </row>
    <row r="140" spans="1:13" ht="16.5" thickBot="1">
      <c r="A140" s="4"/>
      <c r="B140" s="4"/>
      <c r="C140" s="4"/>
      <c r="D140" s="5" t="s">
        <v>72</v>
      </c>
      <c r="E140" s="5"/>
      <c r="F140" s="49">
        <f aca="true" t="shared" si="19" ref="F140:K140">+F134+F136</f>
        <v>45999999.99603801</v>
      </c>
      <c r="G140" s="49">
        <f t="shared" si="19"/>
        <v>46000000</v>
      </c>
      <c r="H140" s="49">
        <f t="shared" si="19"/>
        <v>45999999.99999999</v>
      </c>
      <c r="I140" s="49">
        <f t="shared" si="19"/>
        <v>46000000.00100003</v>
      </c>
      <c r="J140" s="49">
        <f t="shared" si="19"/>
        <v>45999999.99804998</v>
      </c>
      <c r="K140" s="49">
        <f t="shared" si="19"/>
        <v>229999999.995088</v>
      </c>
      <c r="L140" s="10">
        <f>+L134+L138</f>
        <v>229999999.99508807</v>
      </c>
      <c r="M140" s="177"/>
    </row>
    <row r="141" ht="15.75" thickTop="1"/>
    <row r="143" spans="6:11" ht="15">
      <c r="F143" s="4" t="s">
        <v>619</v>
      </c>
      <c r="K143" s="177"/>
    </row>
    <row r="145" spans="6:9" ht="15">
      <c r="F145" t="s">
        <v>620</v>
      </c>
      <c r="I145" s="177">
        <f>+'Multifamily Homes Budget.Other'!B333</f>
        <v>724999.9982644629</v>
      </c>
    </row>
    <row r="146" spans="6:9" ht="15">
      <c r="F146" t="s">
        <v>621</v>
      </c>
      <c r="I146" s="177">
        <v>200000</v>
      </c>
    </row>
    <row r="147" spans="6:9" ht="15">
      <c r="F147" t="s">
        <v>626</v>
      </c>
      <c r="I147" s="177">
        <v>250000</v>
      </c>
    </row>
    <row r="148" spans="6:9" ht="15">
      <c r="F148" t="s">
        <v>622</v>
      </c>
      <c r="I148" s="177">
        <v>200000</v>
      </c>
    </row>
    <row r="150" spans="6:9" ht="15">
      <c r="F150" t="s">
        <v>72</v>
      </c>
      <c r="H150" s="297">
        <f>-K137/K136</f>
        <v>0.3048913381575076</v>
      </c>
      <c r="I150" s="10">
        <f>SUM(I145:I148)</f>
        <v>1374999.998264463</v>
      </c>
    </row>
    <row r="155" ht="15">
      <c r="A155" s="29" t="s">
        <v>595</v>
      </c>
    </row>
    <row r="156" ht="15">
      <c r="A156" t="s">
        <v>596</v>
      </c>
    </row>
    <row r="157" ht="15">
      <c r="A157" t="s">
        <v>598</v>
      </c>
    </row>
    <row r="158" ht="15">
      <c r="A158" t="s">
        <v>597</v>
      </c>
    </row>
    <row r="159" ht="15">
      <c r="A159" t="s">
        <v>599</v>
      </c>
    </row>
    <row r="160" ht="15">
      <c r="A160" t="s">
        <v>600</v>
      </c>
    </row>
    <row r="161" ht="15">
      <c r="A161" t="s">
        <v>601</v>
      </c>
    </row>
    <row r="162" ht="15">
      <c r="A162" t="s">
        <v>623</v>
      </c>
    </row>
    <row r="163" ht="15">
      <c r="A163" t="s">
        <v>624</v>
      </c>
    </row>
    <row r="164" ht="15">
      <c r="A164" t="s">
        <v>625</v>
      </c>
    </row>
  </sheetData>
  <sheetProtection/>
  <printOptions/>
  <pageMargins left="0.27" right="0.5" top="0.25" bottom="0.26" header="0.3" footer="0.3"/>
  <pageSetup horizontalDpi="600" verticalDpi="600" orientation="landscape" scale="42" r:id="rId1"/>
  <rowBreaks count="1" manualBreakCount="1">
    <brk id="88" max="11" man="1"/>
  </rowBreaks>
</worksheet>
</file>

<file path=xl/worksheets/sheet5.xml><?xml version="1.0" encoding="utf-8"?>
<worksheet xmlns="http://schemas.openxmlformats.org/spreadsheetml/2006/main" xmlns:r="http://schemas.openxmlformats.org/officeDocument/2006/relationships">
  <dimension ref="A1:N259"/>
  <sheetViews>
    <sheetView view="pageBreakPreview" zoomScale="60" zoomScalePageLayoutView="0" workbookViewId="0" topLeftCell="A8">
      <selection activeCell="H156" sqref="H156"/>
    </sheetView>
  </sheetViews>
  <sheetFormatPr defaultColWidth="9.140625" defaultRowHeight="15"/>
  <cols>
    <col min="1" max="1" width="4.140625" style="0" customWidth="1"/>
    <col min="2" max="3" width="4.00390625" style="0" customWidth="1"/>
    <col min="4" max="4" width="82.57421875" style="0" customWidth="1"/>
    <col min="5" max="5" width="36.28125" style="0" customWidth="1"/>
    <col min="6" max="6" width="19.140625" style="0" customWidth="1"/>
    <col min="7" max="7" width="21.28125" style="0" customWidth="1"/>
    <col min="8" max="8" width="20.57421875" style="0" customWidth="1"/>
    <col min="9" max="9" width="12.8515625" style="0" customWidth="1"/>
    <col min="10" max="10" width="11.7109375" style="0" customWidth="1"/>
    <col min="11" max="11" width="11.421875" style="0" customWidth="1"/>
    <col min="12" max="12" width="12.8515625" style="0" customWidth="1"/>
    <col min="13" max="13" width="11.7109375" style="0" customWidth="1"/>
    <col min="14" max="14" width="17.8515625" style="0" customWidth="1"/>
    <col min="15" max="15" width="11.57421875" style="0" customWidth="1"/>
    <col min="16" max="16" width="14.140625" style="0" customWidth="1"/>
  </cols>
  <sheetData>
    <row r="1" ht="20.25">
      <c r="A1" s="1" t="s">
        <v>0</v>
      </c>
    </row>
    <row r="2" ht="20.25">
      <c r="A2" s="1" t="s">
        <v>3</v>
      </c>
    </row>
    <row r="3" ht="20.25">
      <c r="A3" s="1" t="s">
        <v>1</v>
      </c>
    </row>
    <row r="4" ht="20.25">
      <c r="A4" s="1" t="s">
        <v>565</v>
      </c>
    </row>
    <row r="5" ht="20.25">
      <c r="A5" s="1" t="s">
        <v>566</v>
      </c>
    </row>
    <row r="6" ht="20.25">
      <c r="A6" s="1"/>
    </row>
    <row r="7" spans="1:4" ht="20.25">
      <c r="A7" s="170" t="s">
        <v>682</v>
      </c>
      <c r="B7" s="123"/>
      <c r="C7" s="123"/>
      <c r="D7" s="123"/>
    </row>
    <row r="8" spans="1:6" ht="20.25">
      <c r="A8" s="1"/>
      <c r="F8" s="128" t="s">
        <v>687</v>
      </c>
    </row>
    <row r="9" spans="5:7" ht="15.75">
      <c r="E9" s="235" t="s">
        <v>683</v>
      </c>
      <c r="F9" s="235" t="s">
        <v>684</v>
      </c>
      <c r="G9" s="235" t="s">
        <v>683</v>
      </c>
    </row>
    <row r="10" spans="5:7" ht="15.75">
      <c r="E10" s="330" t="s">
        <v>72</v>
      </c>
      <c r="F10" s="330" t="s">
        <v>685</v>
      </c>
      <c r="G10" s="330" t="s">
        <v>686</v>
      </c>
    </row>
    <row r="11" spans="1:7" ht="15">
      <c r="A11" s="4">
        <v>1</v>
      </c>
      <c r="B11" s="4"/>
      <c r="C11" s="4"/>
      <c r="D11" s="4" t="s">
        <v>540</v>
      </c>
      <c r="E11" s="40">
        <v>1500000</v>
      </c>
      <c r="F11" s="10"/>
      <c r="G11" s="10">
        <f>+E11-F11</f>
        <v>1500000</v>
      </c>
    </row>
    <row r="12" spans="1:7" ht="15">
      <c r="A12" s="4">
        <v>2</v>
      </c>
      <c r="B12" s="4"/>
      <c r="C12" s="4"/>
      <c r="D12" s="334" t="s">
        <v>121</v>
      </c>
      <c r="E12" s="40">
        <v>1500000</v>
      </c>
      <c r="F12" s="10"/>
      <c r="G12" s="10">
        <f aca="true" t="shared" si="0" ref="G12:G75">+E12-F12</f>
        <v>1500000</v>
      </c>
    </row>
    <row r="13" spans="1:7" ht="15">
      <c r="A13" s="4">
        <v>3</v>
      </c>
      <c r="B13" s="4"/>
      <c r="C13" s="4"/>
      <c r="D13" s="4" t="s">
        <v>122</v>
      </c>
      <c r="E13" s="40">
        <v>2000000</v>
      </c>
      <c r="F13" s="10"/>
      <c r="G13" s="10">
        <f t="shared" si="0"/>
        <v>2000000</v>
      </c>
    </row>
    <row r="14" spans="1:7" ht="15">
      <c r="A14" s="4">
        <v>4</v>
      </c>
      <c r="B14" s="4"/>
      <c r="C14" s="4"/>
      <c r="D14" s="4" t="s">
        <v>123</v>
      </c>
      <c r="E14" s="40"/>
      <c r="F14" s="10"/>
      <c r="G14" s="10">
        <f t="shared" si="0"/>
        <v>0</v>
      </c>
    </row>
    <row r="15" spans="1:7" ht="15">
      <c r="A15" s="4" t="s">
        <v>80</v>
      </c>
      <c r="B15" s="4" t="s">
        <v>124</v>
      </c>
      <c r="C15" s="4"/>
      <c r="D15" s="4" t="s">
        <v>125</v>
      </c>
      <c r="E15" s="9">
        <v>773588.375</v>
      </c>
      <c r="F15" s="10"/>
      <c r="G15" s="10">
        <f t="shared" si="0"/>
        <v>773588.375</v>
      </c>
    </row>
    <row r="16" spans="1:7" ht="15">
      <c r="A16" s="4"/>
      <c r="B16" s="4" t="s">
        <v>126</v>
      </c>
      <c r="C16" s="4"/>
      <c r="D16" s="4" t="s">
        <v>127</v>
      </c>
      <c r="E16" s="9">
        <v>497306.8125</v>
      </c>
      <c r="F16" s="10"/>
      <c r="G16" s="10">
        <f t="shared" si="0"/>
        <v>497306.8125</v>
      </c>
    </row>
    <row r="17" spans="1:7" ht="15">
      <c r="A17" s="4"/>
      <c r="B17" s="4" t="s">
        <v>128</v>
      </c>
      <c r="C17" s="4"/>
      <c r="D17" s="4" t="s">
        <v>129</v>
      </c>
      <c r="E17" s="9">
        <v>138140.78125</v>
      </c>
      <c r="F17" s="10"/>
      <c r="G17" s="10">
        <f t="shared" si="0"/>
        <v>138140.78125</v>
      </c>
    </row>
    <row r="18" spans="1:7" ht="15">
      <c r="A18" s="4"/>
      <c r="B18" s="4" t="s">
        <v>130</v>
      </c>
      <c r="C18" s="4"/>
      <c r="D18" s="4" t="s">
        <v>131</v>
      </c>
      <c r="E18" s="9">
        <v>110512.625</v>
      </c>
      <c r="F18" s="10"/>
      <c r="G18" s="10">
        <f t="shared" si="0"/>
        <v>110512.625</v>
      </c>
    </row>
    <row r="19" spans="1:7" ht="15">
      <c r="A19" s="4"/>
      <c r="B19" s="4" t="s">
        <v>132</v>
      </c>
      <c r="C19" s="4"/>
      <c r="D19" s="4" t="s">
        <v>133</v>
      </c>
      <c r="E19" s="9">
        <v>110512.625</v>
      </c>
      <c r="F19" s="10"/>
      <c r="G19" s="10">
        <f t="shared" si="0"/>
        <v>110512.625</v>
      </c>
    </row>
    <row r="20" spans="1:7" ht="15">
      <c r="A20" s="4"/>
      <c r="B20" s="4" t="s">
        <v>134</v>
      </c>
      <c r="C20" s="4"/>
      <c r="D20" s="4" t="s">
        <v>135</v>
      </c>
      <c r="E20" s="10">
        <v>55256.3125</v>
      </c>
      <c r="F20" s="10"/>
      <c r="G20" s="10">
        <f t="shared" si="0"/>
        <v>55256.3125</v>
      </c>
    </row>
    <row r="21" spans="1:7" ht="15">
      <c r="A21" s="4"/>
      <c r="C21" s="4"/>
      <c r="D21" s="3" t="s">
        <v>136</v>
      </c>
      <c r="E21" s="12">
        <f>SUM(E15:E20)</f>
        <v>1685317.53125</v>
      </c>
      <c r="F21" s="12">
        <f>SUM(F15:F20)</f>
        <v>0</v>
      </c>
      <c r="G21" s="10">
        <f t="shared" si="0"/>
        <v>1685317.53125</v>
      </c>
    </row>
    <row r="22" spans="1:7" ht="15">
      <c r="A22" s="4"/>
      <c r="B22" s="4" t="s">
        <v>137</v>
      </c>
      <c r="C22" s="4"/>
      <c r="D22" s="4" t="s">
        <v>138</v>
      </c>
      <c r="E22" s="9">
        <f>+E21*0.1</f>
        <v>168531.75312500002</v>
      </c>
      <c r="F22" s="10"/>
      <c r="G22" s="10">
        <f t="shared" si="0"/>
        <v>168531.75312500002</v>
      </c>
    </row>
    <row r="23" spans="1:7" ht="15">
      <c r="A23" s="4"/>
      <c r="B23" s="4" t="s">
        <v>139</v>
      </c>
      <c r="C23" s="4"/>
      <c r="D23" s="41" t="s">
        <v>140</v>
      </c>
      <c r="E23" s="9">
        <f>0.05*E21</f>
        <v>84265.87656250001</v>
      </c>
      <c r="F23" s="10"/>
      <c r="G23" s="10">
        <f t="shared" si="0"/>
        <v>84265.87656250001</v>
      </c>
    </row>
    <row r="24" spans="1:7" ht="15">
      <c r="A24" s="4"/>
      <c r="B24" s="4" t="s">
        <v>141</v>
      </c>
      <c r="C24" s="4"/>
      <c r="D24" s="4" t="s">
        <v>142</v>
      </c>
      <c r="E24" s="9">
        <f>+E21*0.1</f>
        <v>168531.75312500002</v>
      </c>
      <c r="F24" s="10"/>
      <c r="G24" s="10">
        <f t="shared" si="0"/>
        <v>168531.75312500002</v>
      </c>
    </row>
    <row r="25" spans="1:7" ht="15">
      <c r="A25" s="4"/>
      <c r="B25" s="4"/>
      <c r="C25" s="4"/>
      <c r="D25" s="3" t="s">
        <v>648</v>
      </c>
      <c r="E25" s="12">
        <f>SUM(E22:E24)</f>
        <v>421329.3828125</v>
      </c>
      <c r="F25" s="12">
        <f>SUM(F22:F24)</f>
        <v>0</v>
      </c>
      <c r="G25" s="10">
        <f t="shared" si="0"/>
        <v>421329.3828125</v>
      </c>
    </row>
    <row r="26" spans="1:7" ht="15">
      <c r="A26" s="4">
        <v>5</v>
      </c>
      <c r="B26" s="4"/>
      <c r="C26" s="4"/>
      <c r="D26" s="4" t="s">
        <v>539</v>
      </c>
      <c r="E26" s="9">
        <v>500000</v>
      </c>
      <c r="F26" s="10">
        <v>2500</v>
      </c>
      <c r="G26" s="10">
        <f t="shared" si="0"/>
        <v>497500</v>
      </c>
    </row>
    <row r="27" spans="1:7" ht="15">
      <c r="A27" s="4">
        <v>6</v>
      </c>
      <c r="B27" s="4" t="s">
        <v>124</v>
      </c>
      <c r="C27" s="4"/>
      <c r="D27" s="4" t="s">
        <v>143</v>
      </c>
      <c r="E27" s="9">
        <v>552563.125</v>
      </c>
      <c r="F27" s="10">
        <v>10000</v>
      </c>
      <c r="G27" s="10">
        <f t="shared" si="0"/>
        <v>542563.125</v>
      </c>
    </row>
    <row r="28" spans="1:7" ht="15">
      <c r="A28" s="4"/>
      <c r="B28" s="4" t="s">
        <v>126</v>
      </c>
      <c r="C28" s="4"/>
      <c r="D28" s="4" t="s">
        <v>144</v>
      </c>
      <c r="E28" s="9">
        <v>500000</v>
      </c>
      <c r="F28" s="10">
        <v>10000</v>
      </c>
      <c r="G28" s="10">
        <f t="shared" si="0"/>
        <v>490000</v>
      </c>
    </row>
    <row r="29" spans="1:7" ht="15">
      <c r="A29" s="4" t="s">
        <v>80</v>
      </c>
      <c r="B29" s="4" t="s">
        <v>128</v>
      </c>
      <c r="C29" s="4"/>
      <c r="D29" s="4" t="s">
        <v>145</v>
      </c>
      <c r="E29" s="9">
        <v>1105126.25</v>
      </c>
      <c r="F29" s="10"/>
      <c r="G29" s="10">
        <f t="shared" si="0"/>
        <v>1105126.25</v>
      </c>
    </row>
    <row r="30" spans="1:7" ht="15">
      <c r="A30" s="4"/>
      <c r="B30" s="4" t="s">
        <v>130</v>
      </c>
      <c r="C30" s="4"/>
      <c r="D30" s="4" t="s">
        <v>146</v>
      </c>
      <c r="E30" s="9">
        <v>552563.125</v>
      </c>
      <c r="F30" s="10"/>
      <c r="G30" s="10">
        <f t="shared" si="0"/>
        <v>552563.125</v>
      </c>
    </row>
    <row r="31" spans="1:7" ht="15">
      <c r="A31" s="4"/>
      <c r="B31" s="4" t="s">
        <v>132</v>
      </c>
      <c r="C31" s="4"/>
      <c r="D31" s="4" t="s">
        <v>147</v>
      </c>
      <c r="E31" s="9">
        <v>2762815.625</v>
      </c>
      <c r="F31" s="10"/>
      <c r="G31" s="10">
        <f t="shared" si="0"/>
        <v>2762815.625</v>
      </c>
    </row>
    <row r="32" spans="1:7" ht="15.75">
      <c r="A32" s="4"/>
      <c r="B32" s="4" t="s">
        <v>134</v>
      </c>
      <c r="C32" s="4"/>
      <c r="D32" s="232" t="s">
        <v>542</v>
      </c>
      <c r="E32" s="236">
        <v>580191.28125</v>
      </c>
      <c r="F32" s="10"/>
      <c r="G32" s="10">
        <f t="shared" si="0"/>
        <v>580191.28125</v>
      </c>
    </row>
    <row r="33" spans="1:7" ht="15">
      <c r="A33" s="4"/>
      <c r="B33" s="4"/>
      <c r="C33" s="4"/>
      <c r="D33" s="3" t="s">
        <v>148</v>
      </c>
      <c r="E33" s="12">
        <f>SUM(E26:E32)</f>
        <v>6553259.40625</v>
      </c>
      <c r="F33" s="12">
        <f>SUM(F26:F32)</f>
        <v>22500</v>
      </c>
      <c r="G33" s="10">
        <f t="shared" si="0"/>
        <v>6530759.40625</v>
      </c>
    </row>
    <row r="34" spans="1:7" ht="15">
      <c r="A34" s="4"/>
      <c r="B34" s="4" t="s">
        <v>137</v>
      </c>
      <c r="C34" s="4"/>
      <c r="D34" s="4" t="s">
        <v>138</v>
      </c>
      <c r="E34" s="9">
        <f>+E33*0.1</f>
        <v>655325.940625</v>
      </c>
      <c r="F34" s="9">
        <f>+F33*0.1</f>
        <v>2250</v>
      </c>
      <c r="G34" s="10">
        <f t="shared" si="0"/>
        <v>653075.940625</v>
      </c>
    </row>
    <row r="35" spans="1:7" ht="15">
      <c r="A35" s="4"/>
      <c r="B35" s="4" t="s">
        <v>139</v>
      </c>
      <c r="C35" s="4"/>
      <c r="D35" s="41" t="s">
        <v>140</v>
      </c>
      <c r="E35" s="9">
        <f>+E33*0.05</f>
        <v>327662.9703125</v>
      </c>
      <c r="F35" s="9">
        <f>+F33*0.05</f>
        <v>1125</v>
      </c>
      <c r="G35" s="10">
        <f t="shared" si="0"/>
        <v>326537.9703125</v>
      </c>
    </row>
    <row r="36" spans="1:7" ht="15">
      <c r="A36" s="4"/>
      <c r="B36" s="4" t="s">
        <v>141</v>
      </c>
      <c r="C36" s="4"/>
      <c r="D36" s="4" t="s">
        <v>142</v>
      </c>
      <c r="E36" s="9">
        <f>+E33*0.1</f>
        <v>655325.940625</v>
      </c>
      <c r="F36" s="9">
        <f>+F33*0.1</f>
        <v>2250</v>
      </c>
      <c r="G36" s="10">
        <f t="shared" si="0"/>
        <v>653075.940625</v>
      </c>
    </row>
    <row r="37" spans="1:7" ht="15">
      <c r="A37" s="4"/>
      <c r="B37" s="4"/>
      <c r="C37" s="4"/>
      <c r="D37" s="3" t="s">
        <v>649</v>
      </c>
      <c r="E37" s="12">
        <f>SUM(E34:E36)</f>
        <v>1638314.8515625</v>
      </c>
      <c r="F37" s="12">
        <f>SUM(F34:F36)</f>
        <v>5625</v>
      </c>
      <c r="G37" s="10">
        <f t="shared" si="0"/>
        <v>1632689.8515625</v>
      </c>
    </row>
    <row r="38" spans="1:7" ht="15">
      <c r="A38" s="4">
        <v>7</v>
      </c>
      <c r="B38" s="4"/>
      <c r="C38" s="4"/>
      <c r="D38" s="4" t="s">
        <v>149</v>
      </c>
      <c r="E38" s="9">
        <v>2500000</v>
      </c>
      <c r="F38" s="10"/>
      <c r="G38" s="10">
        <f t="shared" si="0"/>
        <v>2500000</v>
      </c>
    </row>
    <row r="39" spans="1:7" ht="15">
      <c r="A39" s="4">
        <v>8</v>
      </c>
      <c r="B39" s="4"/>
      <c r="C39" s="4"/>
      <c r="D39" s="4" t="s">
        <v>150</v>
      </c>
      <c r="E39" s="9">
        <v>2000000</v>
      </c>
      <c r="F39" s="10"/>
      <c r="G39" s="10">
        <f t="shared" si="0"/>
        <v>2000000</v>
      </c>
    </row>
    <row r="40" spans="1:7" ht="15">
      <c r="A40" s="4">
        <v>9</v>
      </c>
      <c r="B40" s="4"/>
      <c r="C40" s="4"/>
      <c r="D40" s="42" t="s">
        <v>151</v>
      </c>
      <c r="E40" s="9">
        <v>2000000</v>
      </c>
      <c r="F40" s="10">
        <v>100000</v>
      </c>
      <c r="G40" s="10">
        <f t="shared" si="0"/>
        <v>1900000</v>
      </c>
    </row>
    <row r="41" spans="1:7" ht="15">
      <c r="A41" s="4"/>
      <c r="B41" s="4" t="s">
        <v>124</v>
      </c>
      <c r="C41" s="4" t="s">
        <v>80</v>
      </c>
      <c r="D41" s="4" t="s">
        <v>152</v>
      </c>
      <c r="E41" s="9">
        <v>0</v>
      </c>
      <c r="F41" s="10"/>
      <c r="G41" s="10">
        <f t="shared" si="0"/>
        <v>0</v>
      </c>
    </row>
    <row r="42" spans="1:7" ht="15">
      <c r="A42" s="4"/>
      <c r="B42" s="4" t="s">
        <v>126</v>
      </c>
      <c r="C42" s="4"/>
      <c r="D42" s="4" t="s">
        <v>153</v>
      </c>
      <c r="E42" s="10"/>
      <c r="F42" s="10"/>
      <c r="G42" s="10">
        <f t="shared" si="0"/>
        <v>0</v>
      </c>
    </row>
    <row r="43" spans="1:7" ht="15">
      <c r="A43" s="4">
        <v>10</v>
      </c>
      <c r="B43" s="4"/>
      <c r="C43" s="4"/>
      <c r="D43" s="42" t="s">
        <v>154</v>
      </c>
      <c r="E43" s="9">
        <v>2000000</v>
      </c>
      <c r="F43" s="10">
        <f>65000+35000+25000</f>
        <v>125000</v>
      </c>
      <c r="G43" s="10">
        <f t="shared" si="0"/>
        <v>1875000</v>
      </c>
    </row>
    <row r="44" spans="1:7" ht="15">
      <c r="A44" s="4"/>
      <c r="B44" s="4" t="s">
        <v>124</v>
      </c>
      <c r="C44" s="4" t="s">
        <v>80</v>
      </c>
      <c r="D44" s="4" t="s">
        <v>152</v>
      </c>
      <c r="E44" s="9">
        <v>0</v>
      </c>
      <c r="F44" s="10"/>
      <c r="G44" s="10">
        <f t="shared" si="0"/>
        <v>0</v>
      </c>
    </row>
    <row r="45" spans="1:7" ht="15">
      <c r="A45" s="4"/>
      <c r="B45" s="4" t="s">
        <v>126</v>
      </c>
      <c r="C45" s="4"/>
      <c r="D45" s="4" t="s">
        <v>153</v>
      </c>
      <c r="E45" s="9">
        <v>0</v>
      </c>
      <c r="F45" s="10"/>
      <c r="G45" s="10">
        <f t="shared" si="0"/>
        <v>0</v>
      </c>
    </row>
    <row r="46" spans="1:7" ht="15">
      <c r="A46" s="4"/>
      <c r="B46" s="4" t="s">
        <v>128</v>
      </c>
      <c r="C46" s="4"/>
      <c r="D46" s="4" t="s">
        <v>155</v>
      </c>
      <c r="E46" s="10">
        <v>0</v>
      </c>
      <c r="F46" s="10"/>
      <c r="G46" s="10">
        <f t="shared" si="0"/>
        <v>0</v>
      </c>
    </row>
    <row r="47" spans="1:7" ht="15">
      <c r="A47" s="4">
        <v>11</v>
      </c>
      <c r="B47" s="4"/>
      <c r="C47" s="4"/>
      <c r="D47" s="3" t="s">
        <v>156</v>
      </c>
      <c r="E47" s="10">
        <v>2000000</v>
      </c>
      <c r="F47" s="10">
        <v>200000</v>
      </c>
      <c r="G47" s="10">
        <f t="shared" si="0"/>
        <v>1800000</v>
      </c>
    </row>
    <row r="48" spans="1:7" ht="15">
      <c r="A48" s="4">
        <v>12</v>
      </c>
      <c r="B48" s="4"/>
      <c r="C48" s="4"/>
      <c r="D48" s="3" t="s">
        <v>157</v>
      </c>
      <c r="E48" s="10">
        <v>750000</v>
      </c>
      <c r="F48" s="10">
        <v>100000</v>
      </c>
      <c r="G48" s="10">
        <f t="shared" si="0"/>
        <v>650000</v>
      </c>
    </row>
    <row r="49" spans="1:11" ht="15">
      <c r="A49" s="4">
        <v>13</v>
      </c>
      <c r="B49" s="4"/>
      <c r="C49" s="4"/>
      <c r="D49" s="51" t="s">
        <v>515</v>
      </c>
      <c r="E49" s="52">
        <v>163125000</v>
      </c>
      <c r="F49" s="10">
        <f>+('Multifamily Homes Budget.Canaan'!G325*5)+'Initial Funds Request'!I49+0.01</f>
        <v>4225000.001322314</v>
      </c>
      <c r="G49" s="10">
        <f t="shared" si="0"/>
        <v>158899999.99867767</v>
      </c>
      <c r="H49" s="335" t="s">
        <v>483</v>
      </c>
      <c r="I49" s="333">
        <f>+G232</f>
        <v>600000</v>
      </c>
      <c r="J49" s="337" t="s">
        <v>691</v>
      </c>
      <c r="K49" s="338">
        <f>725000*5</f>
        <v>3625000</v>
      </c>
    </row>
    <row r="50" spans="1:11" ht="15">
      <c r="A50" s="4"/>
      <c r="B50" s="4" t="s">
        <v>124</v>
      </c>
      <c r="C50" s="4"/>
      <c r="D50" s="282" t="s">
        <v>602</v>
      </c>
      <c r="E50" s="283"/>
      <c r="F50" s="10">
        <v>1500000</v>
      </c>
      <c r="G50" s="10">
        <f t="shared" si="0"/>
        <v>-1500000</v>
      </c>
      <c r="K50" s="10"/>
    </row>
    <row r="51" spans="1:7" ht="15">
      <c r="A51" s="4" t="s">
        <v>80</v>
      </c>
      <c r="B51" s="4" t="s">
        <v>126</v>
      </c>
      <c r="C51" s="4"/>
      <c r="D51" s="42" t="s">
        <v>158</v>
      </c>
      <c r="E51" s="9">
        <v>2500000</v>
      </c>
      <c r="F51" s="10"/>
      <c r="G51" s="10">
        <f t="shared" si="0"/>
        <v>2500000</v>
      </c>
    </row>
    <row r="52" spans="1:7" ht="15">
      <c r="A52" s="4"/>
      <c r="B52" s="4" t="s">
        <v>128</v>
      </c>
      <c r="C52" s="4"/>
      <c r="D52" s="42" t="s">
        <v>514</v>
      </c>
      <c r="E52" s="9">
        <v>4000000</v>
      </c>
      <c r="F52" s="10">
        <v>1000000</v>
      </c>
      <c r="G52" s="10">
        <f t="shared" si="0"/>
        <v>3000000</v>
      </c>
    </row>
    <row r="53" spans="1:7" ht="15">
      <c r="A53" s="4">
        <v>14</v>
      </c>
      <c r="B53" s="4"/>
      <c r="C53" s="4"/>
      <c r="D53" s="356" t="s">
        <v>681</v>
      </c>
      <c r="E53" s="9">
        <v>6499999.996115703</v>
      </c>
      <c r="F53" s="10"/>
      <c r="G53" s="10">
        <f t="shared" si="0"/>
        <v>6499999.996115703</v>
      </c>
    </row>
    <row r="54" spans="1:7" ht="15">
      <c r="A54" s="4">
        <v>15</v>
      </c>
      <c r="B54" s="4"/>
      <c r="C54" s="4"/>
      <c r="D54" s="225" t="s">
        <v>509</v>
      </c>
      <c r="E54" s="9"/>
      <c r="F54" s="10"/>
      <c r="G54" s="10">
        <f t="shared" si="0"/>
        <v>0</v>
      </c>
    </row>
    <row r="55" spans="1:7" ht="15">
      <c r="A55" s="4"/>
      <c r="B55" s="4" t="s">
        <v>124</v>
      </c>
      <c r="C55" s="4" t="s">
        <v>80</v>
      </c>
      <c r="D55" s="226" t="s">
        <v>583</v>
      </c>
      <c r="E55" s="9">
        <v>3000000</v>
      </c>
      <c r="F55" s="10"/>
      <c r="G55" s="10">
        <f t="shared" si="0"/>
        <v>3000000</v>
      </c>
    </row>
    <row r="56" spans="1:7" ht="15">
      <c r="A56" s="4"/>
      <c r="B56" s="4" t="s">
        <v>126</v>
      </c>
      <c r="C56" s="4"/>
      <c r="D56" s="226" t="s">
        <v>589</v>
      </c>
      <c r="E56" s="9">
        <v>3500000</v>
      </c>
      <c r="F56" s="10"/>
      <c r="G56" s="10">
        <f t="shared" si="0"/>
        <v>3500000</v>
      </c>
    </row>
    <row r="57" spans="1:7" ht="15">
      <c r="A57" s="4">
        <v>16</v>
      </c>
      <c r="B57" s="4"/>
      <c r="C57" s="4"/>
      <c r="D57" s="357" t="s">
        <v>159</v>
      </c>
      <c r="E57" s="9">
        <v>2000000</v>
      </c>
      <c r="F57" s="10">
        <v>150000</v>
      </c>
      <c r="G57" s="10">
        <f t="shared" si="0"/>
        <v>1850000</v>
      </c>
    </row>
    <row r="58" spans="1:7" ht="15">
      <c r="A58" s="4">
        <v>17</v>
      </c>
      <c r="B58" s="4"/>
      <c r="C58" s="4"/>
      <c r="D58" s="4" t="s">
        <v>160</v>
      </c>
      <c r="E58" s="9">
        <v>2500000</v>
      </c>
      <c r="F58" s="10"/>
      <c r="G58" s="10">
        <f t="shared" si="0"/>
        <v>2500000</v>
      </c>
    </row>
    <row r="59" spans="1:7" ht="15">
      <c r="A59" s="4">
        <v>18</v>
      </c>
      <c r="B59" s="4"/>
      <c r="C59" s="4"/>
      <c r="D59" s="4" t="s">
        <v>161</v>
      </c>
      <c r="E59" s="9">
        <v>2500000</v>
      </c>
      <c r="F59" s="10">
        <v>10000</v>
      </c>
      <c r="G59" s="10">
        <f t="shared" si="0"/>
        <v>2490000</v>
      </c>
    </row>
    <row r="60" spans="1:7" ht="15">
      <c r="A60" s="4">
        <v>19</v>
      </c>
      <c r="B60" s="4"/>
      <c r="C60" s="4"/>
      <c r="D60" s="4" t="s">
        <v>162</v>
      </c>
      <c r="E60" s="9">
        <v>2500000</v>
      </c>
      <c r="F60" s="10"/>
      <c r="G60" s="10">
        <f t="shared" si="0"/>
        <v>2500000</v>
      </c>
    </row>
    <row r="61" spans="1:7" ht="15">
      <c r="A61" s="4">
        <v>20</v>
      </c>
      <c r="B61" s="4"/>
      <c r="C61" s="4"/>
      <c r="D61" s="358" t="s">
        <v>592</v>
      </c>
      <c r="E61" s="9">
        <v>1750000</v>
      </c>
      <c r="F61" s="10"/>
      <c r="G61" s="10">
        <f t="shared" si="0"/>
        <v>1750000</v>
      </c>
    </row>
    <row r="62" spans="1:7" ht="15">
      <c r="A62" s="4"/>
      <c r="B62" s="4" t="s">
        <v>124</v>
      </c>
      <c r="C62" s="4"/>
      <c r="D62" s="3"/>
      <c r="E62" s="9">
        <v>0</v>
      </c>
      <c r="F62" s="10"/>
      <c r="G62" s="10">
        <f t="shared" si="0"/>
        <v>0</v>
      </c>
    </row>
    <row r="63" spans="1:7" ht="15">
      <c r="A63" s="4"/>
      <c r="B63" s="4" t="s">
        <v>126</v>
      </c>
      <c r="C63" s="4"/>
      <c r="D63" s="3"/>
      <c r="E63" s="9">
        <v>0</v>
      </c>
      <c r="F63" s="10"/>
      <c r="G63" s="10">
        <f t="shared" si="0"/>
        <v>0</v>
      </c>
    </row>
    <row r="64" spans="1:7" ht="15">
      <c r="A64" s="4">
        <v>21</v>
      </c>
      <c r="B64" s="4"/>
      <c r="C64" s="4"/>
      <c r="D64" s="4" t="s">
        <v>163</v>
      </c>
      <c r="E64" s="9">
        <v>132615.15</v>
      </c>
      <c r="F64" s="10">
        <v>10000</v>
      </c>
      <c r="G64" s="10">
        <f t="shared" si="0"/>
        <v>122615.15</v>
      </c>
    </row>
    <row r="65" spans="1:7" ht="15">
      <c r="A65" s="4">
        <v>22</v>
      </c>
      <c r="B65" s="4"/>
      <c r="C65" s="4"/>
      <c r="D65" s="4" t="s">
        <v>164</v>
      </c>
      <c r="E65" s="9">
        <v>150000</v>
      </c>
      <c r="F65" s="10">
        <v>25000</v>
      </c>
      <c r="G65" s="10">
        <f t="shared" si="0"/>
        <v>125000</v>
      </c>
    </row>
    <row r="66" spans="1:7" ht="15">
      <c r="A66" s="4">
        <v>23</v>
      </c>
      <c r="B66" s="4"/>
      <c r="C66" s="4"/>
      <c r="D66" s="42" t="s">
        <v>165</v>
      </c>
      <c r="E66" s="43">
        <v>215290</v>
      </c>
      <c r="F66" s="44">
        <v>13500</v>
      </c>
      <c r="G66" s="44">
        <f t="shared" si="0"/>
        <v>201790</v>
      </c>
    </row>
    <row r="67" spans="1:7" ht="15">
      <c r="A67" s="4">
        <v>24</v>
      </c>
      <c r="B67" s="4"/>
      <c r="C67" s="4"/>
      <c r="D67" s="3" t="s">
        <v>511</v>
      </c>
      <c r="E67" s="9">
        <v>0</v>
      </c>
      <c r="F67" s="10"/>
      <c r="G67" s="10">
        <f t="shared" si="0"/>
        <v>0</v>
      </c>
    </row>
    <row r="68" spans="1:7" ht="15">
      <c r="A68" s="4"/>
      <c r="B68" s="4" t="s">
        <v>124</v>
      </c>
      <c r="C68" s="4" t="s">
        <v>80</v>
      </c>
      <c r="D68" s="3" t="s">
        <v>510</v>
      </c>
      <c r="E68" s="9">
        <v>0</v>
      </c>
      <c r="F68" s="10"/>
      <c r="G68" s="10">
        <f t="shared" si="0"/>
        <v>0</v>
      </c>
    </row>
    <row r="69" spans="1:7" ht="15.75">
      <c r="A69" s="4"/>
      <c r="B69" s="4"/>
      <c r="C69" s="4">
        <v>1</v>
      </c>
      <c r="D69" s="6" t="s">
        <v>5</v>
      </c>
      <c r="E69" s="9">
        <v>966985.4687500001</v>
      </c>
      <c r="F69" s="10">
        <f>+G156</f>
        <v>175000</v>
      </c>
      <c r="G69" s="10">
        <f t="shared" si="0"/>
        <v>791985.4687500001</v>
      </c>
    </row>
    <row r="70" spans="1:7" ht="15.75">
      <c r="A70" s="4"/>
      <c r="B70" s="4"/>
      <c r="C70" s="4">
        <v>2</v>
      </c>
      <c r="D70" s="6" t="s">
        <v>29</v>
      </c>
      <c r="E70" s="9">
        <v>33153.7875</v>
      </c>
      <c r="F70" s="10">
        <f aca="true" t="shared" si="1" ref="F70:F107">+G157</f>
        <v>1500</v>
      </c>
      <c r="G70" s="10">
        <f t="shared" si="0"/>
        <v>31653.7875</v>
      </c>
    </row>
    <row r="71" spans="1:7" ht="15.75">
      <c r="A71" s="4"/>
      <c r="B71" s="4"/>
      <c r="C71" s="4">
        <v>3</v>
      </c>
      <c r="D71" s="6" t="s">
        <v>7</v>
      </c>
      <c r="E71" s="9">
        <v>165768.9375</v>
      </c>
      <c r="F71" s="10">
        <f t="shared" si="1"/>
        <v>7500</v>
      </c>
      <c r="G71" s="10">
        <f t="shared" si="0"/>
        <v>158268.9375</v>
      </c>
    </row>
    <row r="72" spans="1:7" ht="15.75">
      <c r="A72" s="4"/>
      <c r="B72" s="4"/>
      <c r="C72" s="4">
        <v>4</v>
      </c>
      <c r="D72" s="6" t="s">
        <v>9</v>
      </c>
      <c r="E72" s="9">
        <v>66307.575</v>
      </c>
      <c r="F72" s="10">
        <f t="shared" si="1"/>
        <v>3000</v>
      </c>
      <c r="G72" s="10">
        <f t="shared" si="0"/>
        <v>63307.575</v>
      </c>
    </row>
    <row r="73" spans="1:7" ht="15.75">
      <c r="A73" s="4"/>
      <c r="B73" s="4"/>
      <c r="C73" s="4">
        <v>5</v>
      </c>
      <c r="D73" s="6" t="s">
        <v>10</v>
      </c>
      <c r="E73" s="9">
        <v>26523.03</v>
      </c>
      <c r="F73" s="10">
        <f t="shared" si="1"/>
        <v>1200</v>
      </c>
      <c r="G73" s="10">
        <f t="shared" si="0"/>
        <v>25323.03</v>
      </c>
    </row>
    <row r="74" spans="1:7" ht="15.75">
      <c r="A74" s="4"/>
      <c r="B74" s="4"/>
      <c r="C74" s="4">
        <v>6</v>
      </c>
      <c r="D74" s="6" t="s">
        <v>12</v>
      </c>
      <c r="E74" s="9">
        <v>26523.03</v>
      </c>
      <c r="F74" s="10">
        <f t="shared" si="1"/>
        <v>1200</v>
      </c>
      <c r="G74" s="10">
        <f t="shared" si="0"/>
        <v>25323.03</v>
      </c>
    </row>
    <row r="75" spans="1:7" ht="15.75">
      <c r="A75" s="4"/>
      <c r="B75" s="4"/>
      <c r="C75" s="4">
        <v>7</v>
      </c>
      <c r="D75" s="6" t="s">
        <v>13</v>
      </c>
      <c r="E75" s="9">
        <v>26523.03</v>
      </c>
      <c r="F75" s="10">
        <f t="shared" si="1"/>
        <v>1200</v>
      </c>
      <c r="G75" s="10">
        <f t="shared" si="0"/>
        <v>25323.03</v>
      </c>
    </row>
    <row r="76" spans="1:7" ht="15.75">
      <c r="A76" s="4"/>
      <c r="B76" s="4"/>
      <c r="C76" s="4">
        <v>8</v>
      </c>
      <c r="D76" s="6" t="s">
        <v>14</v>
      </c>
      <c r="E76" s="9">
        <v>26523.03</v>
      </c>
      <c r="F76" s="10">
        <f t="shared" si="1"/>
        <v>1200</v>
      </c>
      <c r="G76" s="10">
        <f aca="true" t="shared" si="2" ref="G76:G137">+E76-F76</f>
        <v>25323.03</v>
      </c>
    </row>
    <row r="77" spans="1:7" ht="15.75">
      <c r="A77" s="4"/>
      <c r="B77" s="4"/>
      <c r="C77" s="4">
        <v>9</v>
      </c>
      <c r="D77" s="6" t="s">
        <v>15</v>
      </c>
      <c r="E77" s="9">
        <v>23207.651250000003</v>
      </c>
      <c r="F77" s="10">
        <f t="shared" si="1"/>
        <v>1050</v>
      </c>
      <c r="G77" s="10">
        <f t="shared" si="2"/>
        <v>22157.651250000003</v>
      </c>
    </row>
    <row r="78" spans="1:7" ht="15.75">
      <c r="A78" s="4"/>
      <c r="B78" s="4"/>
      <c r="C78" s="4">
        <v>10</v>
      </c>
      <c r="D78" s="6" t="s">
        <v>16</v>
      </c>
      <c r="E78" s="9">
        <v>19892.2725</v>
      </c>
      <c r="F78" s="10">
        <f t="shared" si="1"/>
        <v>900</v>
      </c>
      <c r="G78" s="10">
        <f t="shared" si="2"/>
        <v>18992.2725</v>
      </c>
    </row>
    <row r="79" spans="1:7" ht="15.75">
      <c r="A79" s="4"/>
      <c r="B79" s="4"/>
      <c r="C79" s="4">
        <v>11</v>
      </c>
      <c r="D79" s="6" t="s">
        <v>17</v>
      </c>
      <c r="E79" s="9">
        <v>19892.2725</v>
      </c>
      <c r="F79" s="10">
        <f t="shared" si="1"/>
        <v>900</v>
      </c>
      <c r="G79" s="10">
        <f t="shared" si="2"/>
        <v>18992.2725</v>
      </c>
    </row>
    <row r="80" spans="1:7" ht="15.75">
      <c r="A80" s="4"/>
      <c r="B80" s="4"/>
      <c r="C80" s="4">
        <v>12</v>
      </c>
      <c r="D80" s="6" t="s">
        <v>18</v>
      </c>
      <c r="E80" s="9">
        <v>19892.2725</v>
      </c>
      <c r="F80" s="10">
        <f t="shared" si="1"/>
        <v>900</v>
      </c>
      <c r="G80" s="10">
        <f t="shared" si="2"/>
        <v>18992.2725</v>
      </c>
    </row>
    <row r="81" spans="1:7" ht="15.75">
      <c r="A81" s="4"/>
      <c r="B81" s="4"/>
      <c r="C81" s="4">
        <v>13</v>
      </c>
      <c r="D81" s="6" t="s">
        <v>19</v>
      </c>
      <c r="E81" s="9">
        <v>99461.3625</v>
      </c>
      <c r="F81" s="10">
        <f t="shared" si="1"/>
        <v>4500</v>
      </c>
      <c r="G81" s="10">
        <f t="shared" si="2"/>
        <v>94961.3625</v>
      </c>
    </row>
    <row r="82" spans="1:7" ht="15.75">
      <c r="A82" s="4"/>
      <c r="B82" s="4"/>
      <c r="C82" s="4">
        <v>14</v>
      </c>
      <c r="D82" s="6" t="s">
        <v>21</v>
      </c>
      <c r="E82" s="9">
        <v>49730.68125</v>
      </c>
      <c r="F82" s="10">
        <f t="shared" si="1"/>
        <v>2250</v>
      </c>
      <c r="G82" s="10">
        <f t="shared" si="2"/>
        <v>47480.68125</v>
      </c>
    </row>
    <row r="83" spans="1:7" ht="15.75">
      <c r="A83" s="4"/>
      <c r="B83" s="4"/>
      <c r="C83" s="4">
        <v>15</v>
      </c>
      <c r="D83" s="6" t="s">
        <v>23</v>
      </c>
      <c r="E83" s="9">
        <v>33153.7875</v>
      </c>
      <c r="F83" s="10">
        <f t="shared" si="1"/>
        <v>1500</v>
      </c>
      <c r="G83" s="10">
        <f t="shared" si="2"/>
        <v>31653.7875</v>
      </c>
    </row>
    <row r="84" spans="1:7" ht="15.75">
      <c r="A84" s="4"/>
      <c r="B84" s="4"/>
      <c r="C84" s="4">
        <v>16</v>
      </c>
      <c r="D84" s="6" t="s">
        <v>24</v>
      </c>
      <c r="E84" s="9">
        <v>26523.03</v>
      </c>
      <c r="F84" s="10">
        <f t="shared" si="1"/>
        <v>1200</v>
      </c>
      <c r="G84" s="10">
        <f t="shared" si="2"/>
        <v>25323.03</v>
      </c>
    </row>
    <row r="85" spans="1:7" ht="15.75">
      <c r="A85" s="4"/>
      <c r="B85" s="4"/>
      <c r="C85" s="4">
        <v>17</v>
      </c>
      <c r="D85" s="6" t="s">
        <v>25</v>
      </c>
      <c r="E85" s="9">
        <v>26523.03</v>
      </c>
      <c r="F85" s="10">
        <f t="shared" si="1"/>
        <v>1200</v>
      </c>
      <c r="G85" s="10">
        <f t="shared" si="2"/>
        <v>25323.03</v>
      </c>
    </row>
    <row r="86" spans="1:7" ht="15.75">
      <c r="A86" s="4"/>
      <c r="B86" s="4"/>
      <c r="C86" s="4">
        <v>18</v>
      </c>
      <c r="D86" s="6" t="s">
        <v>26</v>
      </c>
      <c r="E86" s="9">
        <v>26523.03</v>
      </c>
      <c r="F86" s="10">
        <f t="shared" si="1"/>
        <v>1200</v>
      </c>
      <c r="G86" s="10">
        <f t="shared" si="2"/>
        <v>25323.03</v>
      </c>
    </row>
    <row r="87" spans="1:7" ht="15.75">
      <c r="A87" s="4"/>
      <c r="B87" s="4"/>
      <c r="C87" s="4">
        <v>19</v>
      </c>
      <c r="D87" s="6" t="s">
        <v>27</v>
      </c>
      <c r="E87" s="9">
        <v>79569.09</v>
      </c>
      <c r="F87" s="10">
        <f t="shared" si="1"/>
        <v>3600</v>
      </c>
      <c r="G87" s="10">
        <f t="shared" si="2"/>
        <v>75969.09</v>
      </c>
    </row>
    <row r="88" spans="1:7" ht="15.75">
      <c r="A88" s="4"/>
      <c r="B88" s="4"/>
      <c r="C88" s="4">
        <v>20</v>
      </c>
      <c r="D88" s="6" t="s">
        <v>28</v>
      </c>
      <c r="E88" s="9">
        <v>33153.7875</v>
      </c>
      <c r="F88" s="10">
        <f t="shared" si="1"/>
        <v>1500</v>
      </c>
      <c r="G88" s="10">
        <f t="shared" si="2"/>
        <v>31653.7875</v>
      </c>
    </row>
    <row r="89" spans="1:7" ht="15.75">
      <c r="A89" s="4"/>
      <c r="B89" s="4"/>
      <c r="C89" s="4">
        <v>21</v>
      </c>
      <c r="D89" s="6" t="s">
        <v>31</v>
      </c>
      <c r="E89" s="9">
        <v>33153.7875</v>
      </c>
      <c r="F89" s="10">
        <f t="shared" si="1"/>
        <v>1500</v>
      </c>
      <c r="G89" s="10">
        <f t="shared" si="2"/>
        <v>31653.7875</v>
      </c>
    </row>
    <row r="90" spans="1:7" ht="15.75">
      <c r="A90" s="4"/>
      <c r="B90" s="4"/>
      <c r="C90" s="4">
        <v>22</v>
      </c>
      <c r="D90" s="6" t="s">
        <v>32</v>
      </c>
      <c r="E90" s="9">
        <v>26523.03</v>
      </c>
      <c r="F90" s="10">
        <f t="shared" si="1"/>
        <v>1200</v>
      </c>
      <c r="G90" s="10">
        <f t="shared" si="2"/>
        <v>25323.03</v>
      </c>
    </row>
    <row r="91" spans="1:7" ht="15.75">
      <c r="A91" s="4"/>
      <c r="B91" s="4"/>
      <c r="C91" s="4">
        <v>23</v>
      </c>
      <c r="D91" s="6" t="s">
        <v>33</v>
      </c>
      <c r="E91" s="9">
        <v>26523.03</v>
      </c>
      <c r="F91" s="10">
        <f t="shared" si="1"/>
        <v>1200</v>
      </c>
      <c r="G91" s="10">
        <f t="shared" si="2"/>
        <v>25323.03</v>
      </c>
    </row>
    <row r="92" spans="1:7" ht="15.75">
      <c r="A92" s="4"/>
      <c r="B92" s="4"/>
      <c r="C92" s="4">
        <v>24</v>
      </c>
      <c r="D92" s="6" t="s">
        <v>34</v>
      </c>
      <c r="E92" s="9">
        <v>99461.3625</v>
      </c>
      <c r="F92" s="10">
        <f t="shared" si="1"/>
        <v>4500</v>
      </c>
      <c r="G92" s="10">
        <f t="shared" si="2"/>
        <v>94961.3625</v>
      </c>
    </row>
    <row r="93" spans="1:7" ht="15.75">
      <c r="A93" s="4"/>
      <c r="B93" s="4"/>
      <c r="C93" s="4">
        <v>25</v>
      </c>
      <c r="D93" s="6" t="s">
        <v>35</v>
      </c>
      <c r="E93" s="9">
        <v>165768.9375</v>
      </c>
      <c r="F93" s="10">
        <f t="shared" si="1"/>
        <v>7500</v>
      </c>
      <c r="G93" s="10">
        <f t="shared" si="2"/>
        <v>158268.9375</v>
      </c>
    </row>
    <row r="94" spans="1:7" ht="15.75">
      <c r="A94" s="4"/>
      <c r="B94" s="4"/>
      <c r="C94" s="4">
        <v>26</v>
      </c>
      <c r="D94" s="6" t="s">
        <v>36</v>
      </c>
      <c r="E94" s="9">
        <v>33153.7875</v>
      </c>
      <c r="F94" s="10">
        <f t="shared" si="1"/>
        <v>1500</v>
      </c>
      <c r="G94" s="10">
        <f t="shared" si="2"/>
        <v>31653.7875</v>
      </c>
    </row>
    <row r="95" spans="1:7" ht="15.75">
      <c r="A95" s="4"/>
      <c r="B95" s="4"/>
      <c r="C95" s="4">
        <v>27</v>
      </c>
      <c r="D95" s="6" t="s">
        <v>37</v>
      </c>
      <c r="E95" s="9">
        <v>33153.7875</v>
      </c>
      <c r="F95" s="10">
        <f t="shared" si="1"/>
        <v>1500</v>
      </c>
      <c r="G95" s="10">
        <f t="shared" si="2"/>
        <v>31653.7875</v>
      </c>
    </row>
    <row r="96" spans="1:7" ht="15.75">
      <c r="A96" s="4"/>
      <c r="B96" s="4"/>
      <c r="C96" s="4">
        <v>28</v>
      </c>
      <c r="D96" s="6" t="s">
        <v>38</v>
      </c>
      <c r="E96" s="9">
        <v>23207.651250000003</v>
      </c>
      <c r="F96" s="10">
        <f t="shared" si="1"/>
        <v>1050</v>
      </c>
      <c r="G96" s="10">
        <f t="shared" si="2"/>
        <v>22157.651250000003</v>
      </c>
    </row>
    <row r="97" spans="1:7" ht="15.75">
      <c r="A97" s="4"/>
      <c r="B97" s="4"/>
      <c r="C97" s="4">
        <v>29</v>
      </c>
      <c r="D97" s="6" t="s">
        <v>40</v>
      </c>
      <c r="E97" s="9">
        <v>26523.03</v>
      </c>
      <c r="F97" s="10">
        <f t="shared" si="1"/>
        <v>1200</v>
      </c>
      <c r="G97" s="10">
        <f t="shared" si="2"/>
        <v>25323.03</v>
      </c>
    </row>
    <row r="98" spans="1:7" ht="15.75">
      <c r="A98" s="4"/>
      <c r="B98" s="4"/>
      <c r="C98" s="4">
        <v>30</v>
      </c>
      <c r="D98" s="6" t="s">
        <v>41</v>
      </c>
      <c r="E98" s="9">
        <v>26523.03</v>
      </c>
      <c r="F98" s="10">
        <f t="shared" si="1"/>
        <v>1200</v>
      </c>
      <c r="G98" s="10">
        <f t="shared" si="2"/>
        <v>25323.03</v>
      </c>
    </row>
    <row r="99" spans="1:7" ht="15.75">
      <c r="A99" s="4"/>
      <c r="B99" s="4"/>
      <c r="C99" s="4">
        <v>31</v>
      </c>
      <c r="D99" s="6" t="s">
        <v>42</v>
      </c>
      <c r="E99" s="9">
        <v>26523.03</v>
      </c>
      <c r="F99" s="10">
        <f t="shared" si="1"/>
        <v>1200</v>
      </c>
      <c r="G99" s="10">
        <f t="shared" si="2"/>
        <v>25323.03</v>
      </c>
    </row>
    <row r="100" spans="1:7" ht="15.75">
      <c r="A100" s="4"/>
      <c r="B100" s="4"/>
      <c r="C100" s="4">
        <v>32</v>
      </c>
      <c r="D100" s="6" t="s">
        <v>43</v>
      </c>
      <c r="E100" s="9">
        <v>26523.03</v>
      </c>
      <c r="F100" s="10">
        <f t="shared" si="1"/>
        <v>1200</v>
      </c>
      <c r="G100" s="10">
        <f t="shared" si="2"/>
        <v>25323.03</v>
      </c>
    </row>
    <row r="101" spans="1:7" ht="15.75">
      <c r="A101" s="4"/>
      <c r="B101" s="4"/>
      <c r="C101" s="4">
        <v>33</v>
      </c>
      <c r="D101" s="6" t="s">
        <v>44</v>
      </c>
      <c r="E101" s="9">
        <v>23207.651250000003</v>
      </c>
      <c r="F101" s="10">
        <f t="shared" si="1"/>
        <v>1050</v>
      </c>
      <c r="G101" s="10">
        <f t="shared" si="2"/>
        <v>22157.651250000003</v>
      </c>
    </row>
    <row r="102" spans="1:7" ht="15.75">
      <c r="A102" s="4"/>
      <c r="B102" s="4"/>
      <c r="C102" s="4">
        <v>34</v>
      </c>
      <c r="D102" s="6" t="s">
        <v>45</v>
      </c>
      <c r="E102" s="9">
        <v>23207.651250000003</v>
      </c>
      <c r="F102" s="10">
        <f t="shared" si="1"/>
        <v>1050</v>
      </c>
      <c r="G102" s="10">
        <f t="shared" si="2"/>
        <v>22157.651250000003</v>
      </c>
    </row>
    <row r="103" spans="1:7" ht="15.75">
      <c r="A103" s="4"/>
      <c r="B103" s="4"/>
      <c r="C103" s="4">
        <v>35</v>
      </c>
      <c r="D103" s="6" t="s">
        <v>46</v>
      </c>
      <c r="E103" s="9">
        <v>33153.7875</v>
      </c>
      <c r="F103" s="10">
        <f t="shared" si="1"/>
        <v>1500</v>
      </c>
      <c r="G103" s="10">
        <f t="shared" si="2"/>
        <v>31653.7875</v>
      </c>
    </row>
    <row r="104" spans="1:7" ht="15.75">
      <c r="A104" s="4"/>
      <c r="B104" s="4"/>
      <c r="C104" s="4">
        <v>36</v>
      </c>
      <c r="D104" s="6" t="s">
        <v>47</v>
      </c>
      <c r="E104" s="9">
        <v>26523.03</v>
      </c>
      <c r="F104" s="10">
        <f t="shared" si="1"/>
        <v>1200</v>
      </c>
      <c r="G104" s="10">
        <f t="shared" si="2"/>
        <v>25323.03</v>
      </c>
    </row>
    <row r="105" spans="1:7" ht="15.75">
      <c r="A105" s="4"/>
      <c r="B105" s="4"/>
      <c r="C105" s="4">
        <v>37</v>
      </c>
      <c r="D105" s="6" t="s">
        <v>48</v>
      </c>
      <c r="E105" s="9">
        <v>26523.03</v>
      </c>
      <c r="F105" s="10">
        <f t="shared" si="1"/>
        <v>1200</v>
      </c>
      <c r="G105" s="10">
        <f t="shared" si="2"/>
        <v>25323.03</v>
      </c>
    </row>
    <row r="106" spans="1:7" ht="15.75">
      <c r="A106" s="4"/>
      <c r="B106" s="4"/>
      <c r="C106" s="4">
        <v>38</v>
      </c>
      <c r="D106" s="6" t="s">
        <v>49</v>
      </c>
      <c r="E106" s="9">
        <v>19892.2725</v>
      </c>
      <c r="F106" s="10">
        <f t="shared" si="1"/>
        <v>900</v>
      </c>
      <c r="G106" s="10">
        <f t="shared" si="2"/>
        <v>18992.2725</v>
      </c>
    </row>
    <row r="107" spans="1:7" ht="15.75">
      <c r="A107" s="4"/>
      <c r="B107" s="4"/>
      <c r="C107" s="4">
        <v>39</v>
      </c>
      <c r="D107" s="6" t="s">
        <v>50</v>
      </c>
      <c r="E107" s="9">
        <v>19892.2725</v>
      </c>
      <c r="F107" s="10">
        <f t="shared" si="1"/>
        <v>900</v>
      </c>
      <c r="G107" s="10">
        <f t="shared" si="2"/>
        <v>18992.2725</v>
      </c>
    </row>
    <row r="108" spans="1:7" ht="15">
      <c r="A108" s="4"/>
      <c r="B108" s="4"/>
      <c r="C108" s="4"/>
      <c r="D108" s="3" t="s">
        <v>512</v>
      </c>
      <c r="E108" s="12">
        <f>SUM(E69:E107)</f>
        <v>2515267.345</v>
      </c>
      <c r="F108" s="12">
        <f>SUM(F69:F107)</f>
        <v>245050</v>
      </c>
      <c r="G108" s="10">
        <f t="shared" si="2"/>
        <v>2270217.345</v>
      </c>
    </row>
    <row r="109" spans="1:7" ht="15">
      <c r="A109" s="4"/>
      <c r="B109" s="4" t="s">
        <v>126</v>
      </c>
      <c r="C109" s="4">
        <v>1</v>
      </c>
      <c r="D109" s="4" t="s">
        <v>167</v>
      </c>
      <c r="E109" s="9">
        <f>+E108*0.1</f>
        <v>251526.73450000002</v>
      </c>
      <c r="F109" s="9">
        <f>+F108*0.1</f>
        <v>24505</v>
      </c>
      <c r="G109" s="10">
        <f t="shared" si="2"/>
        <v>227021.73450000002</v>
      </c>
    </row>
    <row r="110" spans="1:7" ht="15">
      <c r="A110" s="4"/>
      <c r="B110" s="4"/>
      <c r="C110" s="4">
        <v>2</v>
      </c>
      <c r="D110" s="4" t="s">
        <v>168</v>
      </c>
      <c r="E110" s="9">
        <v>75000</v>
      </c>
      <c r="F110" s="10">
        <f>+(200*3*2)+(500*3*2)</f>
        <v>4200</v>
      </c>
      <c r="G110" s="10">
        <f t="shared" si="2"/>
        <v>70800</v>
      </c>
    </row>
    <row r="111" spans="1:7" ht="15">
      <c r="A111" s="4"/>
      <c r="B111" s="4"/>
      <c r="C111" s="4">
        <v>3</v>
      </c>
      <c r="D111" s="4" t="s">
        <v>169</v>
      </c>
      <c r="E111" s="9">
        <f>SUM(+E108-E69-E70)*0.1</f>
        <v>151512.80887500002</v>
      </c>
      <c r="F111" s="9">
        <f>SUM(+F108-F69-F70)*0.1</f>
        <v>6855</v>
      </c>
      <c r="G111" s="10">
        <f t="shared" si="2"/>
        <v>144657.80887500002</v>
      </c>
    </row>
    <row r="112" spans="1:7" ht="15">
      <c r="A112" s="4"/>
      <c r="B112" s="4"/>
      <c r="C112" s="4">
        <v>4</v>
      </c>
      <c r="D112" s="4" t="s">
        <v>170</v>
      </c>
      <c r="E112" s="9">
        <f>+E108*0.05</f>
        <v>125763.36725000001</v>
      </c>
      <c r="F112" s="9">
        <f>+F108*0.05</f>
        <v>12252.5</v>
      </c>
      <c r="G112" s="10">
        <f t="shared" si="2"/>
        <v>113510.86725000001</v>
      </c>
    </row>
    <row r="113" spans="1:7" ht="15">
      <c r="A113" s="4"/>
      <c r="B113" s="4"/>
      <c r="C113" s="4"/>
      <c r="D113" s="3" t="s">
        <v>650</v>
      </c>
      <c r="E113" s="12">
        <f>SUM(E109:E112)</f>
        <v>603802.910625</v>
      </c>
      <c r="F113" s="12">
        <f>SUM(F109:F112)</f>
        <v>47812.5</v>
      </c>
      <c r="G113" s="10">
        <f t="shared" si="2"/>
        <v>555990.410625</v>
      </c>
    </row>
    <row r="114" spans="1:7" ht="15">
      <c r="A114" s="4">
        <v>25</v>
      </c>
      <c r="B114" s="4"/>
      <c r="C114" s="4"/>
      <c r="D114" s="3" t="s">
        <v>166</v>
      </c>
      <c r="E114" s="9"/>
      <c r="F114" s="10"/>
      <c r="G114" s="10"/>
    </row>
    <row r="115" spans="1:7" ht="15">
      <c r="A115" s="4"/>
      <c r="B115" t="s">
        <v>124</v>
      </c>
      <c r="C115" s="4"/>
      <c r="D115" s="4" t="s">
        <v>171</v>
      </c>
      <c r="E115" s="9">
        <v>250000</v>
      </c>
      <c r="F115" s="10">
        <v>5000</v>
      </c>
      <c r="G115" s="10">
        <f t="shared" si="2"/>
        <v>245000</v>
      </c>
    </row>
    <row r="116" spans="1:7" ht="15">
      <c r="A116" s="4"/>
      <c r="B116" t="s">
        <v>126</v>
      </c>
      <c r="C116" s="4"/>
      <c r="D116" s="4" t="s">
        <v>172</v>
      </c>
      <c r="E116" s="9">
        <v>150000</v>
      </c>
      <c r="F116" s="10">
        <v>12000</v>
      </c>
      <c r="G116" s="10">
        <f t="shared" si="2"/>
        <v>138000</v>
      </c>
    </row>
    <row r="117" spans="1:7" ht="15">
      <c r="A117" s="4"/>
      <c r="B117" s="4" t="s">
        <v>128</v>
      </c>
      <c r="C117" s="4"/>
      <c r="D117" s="4" t="s">
        <v>173</v>
      </c>
      <c r="E117" s="9">
        <v>120000</v>
      </c>
      <c r="F117" s="10">
        <v>3000</v>
      </c>
      <c r="G117" s="10">
        <f t="shared" si="2"/>
        <v>117000</v>
      </c>
    </row>
    <row r="118" spans="1:7" ht="15">
      <c r="A118" s="4"/>
      <c r="B118" s="4" t="s">
        <v>130</v>
      </c>
      <c r="C118" s="4"/>
      <c r="D118" s="4" t="s">
        <v>174</v>
      </c>
      <c r="E118" s="9">
        <v>120000</v>
      </c>
      <c r="F118" s="10">
        <v>1000</v>
      </c>
      <c r="G118" s="10">
        <f t="shared" si="2"/>
        <v>119000</v>
      </c>
    </row>
    <row r="119" spans="1:7" ht="15">
      <c r="A119" s="4"/>
      <c r="B119" s="4" t="s">
        <v>132</v>
      </c>
      <c r="C119" s="4"/>
      <c r="D119" s="4" t="s">
        <v>513</v>
      </c>
      <c r="E119" s="9">
        <v>250000</v>
      </c>
      <c r="F119" s="10">
        <v>25000</v>
      </c>
      <c r="G119" s="10">
        <f t="shared" si="2"/>
        <v>225000</v>
      </c>
    </row>
    <row r="120" spans="1:7" ht="15">
      <c r="A120" s="4"/>
      <c r="B120" s="4" t="s">
        <v>134</v>
      </c>
      <c r="C120" s="4"/>
      <c r="D120" s="4" t="s">
        <v>175</v>
      </c>
      <c r="E120" s="9">
        <v>150000</v>
      </c>
      <c r="F120" s="10">
        <v>1000</v>
      </c>
      <c r="G120" s="10">
        <f t="shared" si="2"/>
        <v>149000</v>
      </c>
    </row>
    <row r="121" spans="1:7" ht="15">
      <c r="A121" s="4"/>
      <c r="B121" s="4" t="s">
        <v>137</v>
      </c>
      <c r="C121" s="4"/>
      <c r="D121" s="4" t="s">
        <v>176</v>
      </c>
      <c r="E121" s="9">
        <v>1500</v>
      </c>
      <c r="F121" s="10">
        <v>500</v>
      </c>
      <c r="G121" s="10">
        <f t="shared" si="2"/>
        <v>1000</v>
      </c>
    </row>
    <row r="122" spans="1:7" ht="15">
      <c r="A122" s="4"/>
      <c r="B122" s="4" t="s">
        <v>139</v>
      </c>
      <c r="C122" s="4"/>
      <c r="D122" s="4" t="s">
        <v>178</v>
      </c>
      <c r="E122" s="9">
        <v>60000</v>
      </c>
      <c r="F122" s="10">
        <v>2000</v>
      </c>
      <c r="G122" s="10">
        <f t="shared" si="2"/>
        <v>58000</v>
      </c>
    </row>
    <row r="123" spans="1:7" ht="15">
      <c r="A123" s="4"/>
      <c r="B123" s="4" t="s">
        <v>141</v>
      </c>
      <c r="C123" s="4"/>
      <c r="D123" s="4" t="s">
        <v>180</v>
      </c>
      <c r="E123" s="9">
        <v>10000</v>
      </c>
      <c r="F123" s="10">
        <v>1000</v>
      </c>
      <c r="G123" s="10">
        <f t="shared" si="2"/>
        <v>9000</v>
      </c>
    </row>
    <row r="124" spans="1:7" ht="15">
      <c r="A124" s="4"/>
      <c r="B124" s="4" t="s">
        <v>177</v>
      </c>
      <c r="C124" s="4"/>
      <c r="D124" s="4" t="s">
        <v>182</v>
      </c>
      <c r="E124" s="9">
        <v>10000</v>
      </c>
      <c r="F124" s="10">
        <v>1000</v>
      </c>
      <c r="G124" s="10">
        <f t="shared" si="2"/>
        <v>9000</v>
      </c>
    </row>
    <row r="125" spans="1:7" ht="15">
      <c r="A125" s="4"/>
      <c r="B125" s="4" t="s">
        <v>179</v>
      </c>
      <c r="C125" s="4"/>
      <c r="D125" s="4" t="s">
        <v>184</v>
      </c>
      <c r="E125" s="9">
        <v>37500</v>
      </c>
      <c r="F125" s="10">
        <v>2000</v>
      </c>
      <c r="G125" s="10">
        <f t="shared" si="2"/>
        <v>35500</v>
      </c>
    </row>
    <row r="126" spans="1:7" ht="15">
      <c r="A126" s="4"/>
      <c r="B126" s="4" t="s">
        <v>181</v>
      </c>
      <c r="C126" s="4"/>
      <c r="D126" s="4" t="s">
        <v>186</v>
      </c>
      <c r="E126" s="9">
        <v>6000</v>
      </c>
      <c r="F126" s="10">
        <v>4000</v>
      </c>
      <c r="G126" s="10">
        <f t="shared" si="2"/>
        <v>2000</v>
      </c>
    </row>
    <row r="127" spans="1:7" ht="15">
      <c r="A127" s="4"/>
      <c r="B127" s="4" t="s">
        <v>183</v>
      </c>
      <c r="C127" s="4"/>
      <c r="D127" s="4" t="s">
        <v>188</v>
      </c>
      <c r="E127" s="9">
        <v>6000</v>
      </c>
      <c r="F127" s="10">
        <v>1000</v>
      </c>
      <c r="G127" s="10">
        <f t="shared" si="2"/>
        <v>5000</v>
      </c>
    </row>
    <row r="128" spans="1:7" ht="15">
      <c r="A128" s="4"/>
      <c r="B128" s="4" t="s">
        <v>185</v>
      </c>
      <c r="C128" s="4"/>
      <c r="D128" s="4" t="s">
        <v>190</v>
      </c>
      <c r="E128" s="9">
        <v>2500</v>
      </c>
      <c r="F128" s="10">
        <v>500</v>
      </c>
      <c r="G128" s="10">
        <f t="shared" si="2"/>
        <v>2000</v>
      </c>
    </row>
    <row r="129" spans="1:7" ht="15">
      <c r="A129" s="4"/>
      <c r="B129" s="4" t="s">
        <v>187</v>
      </c>
      <c r="C129" s="4"/>
      <c r="D129" s="4" t="s">
        <v>192</v>
      </c>
      <c r="E129" s="9">
        <v>15000</v>
      </c>
      <c r="F129" s="10">
        <v>1500</v>
      </c>
      <c r="G129" s="10">
        <f t="shared" si="2"/>
        <v>13500</v>
      </c>
    </row>
    <row r="130" spans="1:7" ht="15">
      <c r="A130" s="4"/>
      <c r="B130" s="4" t="s">
        <v>189</v>
      </c>
      <c r="C130" s="4"/>
      <c r="D130" s="4" t="s">
        <v>194</v>
      </c>
      <c r="E130" s="9">
        <v>5000</v>
      </c>
      <c r="F130" s="10">
        <v>150</v>
      </c>
      <c r="G130" s="10">
        <f t="shared" si="2"/>
        <v>4850</v>
      </c>
    </row>
    <row r="131" spans="1:7" ht="15">
      <c r="A131" s="4"/>
      <c r="B131" s="4" t="s">
        <v>191</v>
      </c>
      <c r="C131" s="4"/>
      <c r="D131" s="4" t="s">
        <v>195</v>
      </c>
      <c r="E131" s="9">
        <v>6500</v>
      </c>
      <c r="F131" s="10">
        <v>500</v>
      </c>
      <c r="G131" s="10">
        <f t="shared" si="2"/>
        <v>6000</v>
      </c>
    </row>
    <row r="132" spans="1:7" ht="15">
      <c r="A132" s="4"/>
      <c r="B132" s="4" t="s">
        <v>193</v>
      </c>
      <c r="C132" s="4"/>
      <c r="D132" s="4" t="s">
        <v>196</v>
      </c>
      <c r="E132" s="9">
        <v>250000</v>
      </c>
      <c r="F132" s="10">
        <v>2500</v>
      </c>
      <c r="G132" s="10">
        <f t="shared" si="2"/>
        <v>247500</v>
      </c>
    </row>
    <row r="133" spans="1:7" ht="15">
      <c r="A133" s="4"/>
      <c r="B133" s="4"/>
      <c r="C133" s="4"/>
      <c r="D133" s="4"/>
      <c r="E133" s="9"/>
      <c r="F133" s="10"/>
      <c r="G133" s="10"/>
    </row>
    <row r="134" spans="1:10" ht="15">
      <c r="A134" s="4"/>
      <c r="B134" s="4"/>
      <c r="C134" s="4"/>
      <c r="D134" s="4" t="s">
        <v>197</v>
      </c>
      <c r="E134" s="45">
        <f>SUM(E11:E132)-E108-E21-E33-E113-E37-E25</f>
        <v>225490196.57361576</v>
      </c>
      <c r="F134" s="45">
        <f>SUM(F11:F132)-F108-F21-F33-F113-F37-F25</f>
        <v>7843137.501322314</v>
      </c>
      <c r="G134" s="46">
        <f>+E134-F134</f>
        <v>217647059.07229346</v>
      </c>
      <c r="H134" s="47">
        <f>SUM(G11:G132)-G108-G21-G33-G113-G37-G25</f>
        <v>217647059.07229343</v>
      </c>
      <c r="J134" s="336"/>
    </row>
    <row r="135" spans="1:10" ht="15">
      <c r="A135" s="4"/>
      <c r="B135" s="4"/>
      <c r="C135" s="4"/>
      <c r="D135" s="4"/>
      <c r="E135" s="9"/>
      <c r="F135" s="10"/>
      <c r="G135" s="10"/>
      <c r="J135" s="336"/>
    </row>
    <row r="136" spans="1:10" ht="15.75">
      <c r="A136" s="4">
        <v>26</v>
      </c>
      <c r="B136" s="4"/>
      <c r="C136" s="4"/>
      <c r="D136" s="6" t="s">
        <v>198</v>
      </c>
      <c r="E136" s="47">
        <f>0.02*E134-0.51</f>
        <v>4509803.421472316</v>
      </c>
      <c r="F136" s="31">
        <f>+F134*0.02-0.25</f>
        <v>156862.50002644627</v>
      </c>
      <c r="G136" s="10">
        <f>+E136-F136+0.01</f>
        <v>4352940.93144587</v>
      </c>
      <c r="H136" s="10">
        <f>+G136</f>
        <v>4352940.93144587</v>
      </c>
      <c r="J136" s="336"/>
    </row>
    <row r="137" spans="1:10" ht="15.75">
      <c r="A137" s="4">
        <v>27</v>
      </c>
      <c r="B137" s="4"/>
      <c r="C137" s="4"/>
      <c r="D137" s="4" t="s">
        <v>199</v>
      </c>
      <c r="E137" s="9">
        <v>-1375000</v>
      </c>
      <c r="F137" s="31">
        <v>0</v>
      </c>
      <c r="G137" s="10">
        <f t="shared" si="2"/>
        <v>-1375000</v>
      </c>
      <c r="J137" s="336"/>
    </row>
    <row r="138" spans="1:10" ht="15.75">
      <c r="A138" s="4">
        <v>28</v>
      </c>
      <c r="B138" s="4"/>
      <c r="C138" s="4"/>
      <c r="D138" s="4" t="s">
        <v>200</v>
      </c>
      <c r="E138" s="328">
        <f>+E136+E137</f>
        <v>3134803.4214723157</v>
      </c>
      <c r="F138" s="328">
        <f>+F136+F137</f>
        <v>156862.50002644627</v>
      </c>
      <c r="G138" s="46">
        <f>+E138-F138+0.01</f>
        <v>2977940.931445869</v>
      </c>
      <c r="J138" s="336"/>
    </row>
    <row r="139" spans="1:10" ht="15">
      <c r="A139" s="4"/>
      <c r="B139" s="4"/>
      <c r="C139" s="4"/>
      <c r="D139" s="4"/>
      <c r="E139" s="9"/>
      <c r="F139" s="10"/>
      <c r="G139" s="10"/>
      <c r="J139" s="336"/>
    </row>
    <row r="140" spans="1:10" ht="16.5" thickBot="1">
      <c r="A140" s="4"/>
      <c r="B140" s="4"/>
      <c r="C140" s="4"/>
      <c r="D140" s="5" t="s">
        <v>72</v>
      </c>
      <c r="E140" s="329">
        <f>+E134+E136</f>
        <v>229999999.99508807</v>
      </c>
      <c r="F140" s="329">
        <f>+F134+F136</f>
        <v>8000000.00134876</v>
      </c>
      <c r="G140" s="329">
        <f>+G134+G136</f>
        <v>222000000.00373933</v>
      </c>
      <c r="H140" s="339">
        <f>+H134+H136</f>
        <v>222000000.0037393</v>
      </c>
      <c r="J140" s="336"/>
    </row>
    <row r="141" ht="15.75" thickTop="1"/>
    <row r="143" ht="15">
      <c r="A143" s="29" t="s">
        <v>595</v>
      </c>
    </row>
    <row r="144" ht="15">
      <c r="A144" t="s">
        <v>596</v>
      </c>
    </row>
    <row r="145" ht="15">
      <c r="A145" t="s">
        <v>598</v>
      </c>
    </row>
    <row r="146" ht="15">
      <c r="A146" t="s">
        <v>597</v>
      </c>
    </row>
    <row r="147" ht="15">
      <c r="A147" t="s">
        <v>599</v>
      </c>
    </row>
    <row r="148" ht="15">
      <c r="A148" t="s">
        <v>600</v>
      </c>
    </row>
    <row r="149" ht="15">
      <c r="A149" t="s">
        <v>601</v>
      </c>
    </row>
    <row r="150" ht="15">
      <c r="A150" t="s">
        <v>623</v>
      </c>
    </row>
    <row r="151" ht="15">
      <c r="A151" t="s">
        <v>624</v>
      </c>
    </row>
    <row r="152" ht="15">
      <c r="A152" t="s">
        <v>625</v>
      </c>
    </row>
    <row r="154" spans="6:7" ht="15">
      <c r="F154" s="50" t="s">
        <v>201</v>
      </c>
      <c r="G154" s="50" t="s">
        <v>684</v>
      </c>
    </row>
    <row r="155" spans="4:9" ht="15.75">
      <c r="D155" s="204" t="s">
        <v>510</v>
      </c>
      <c r="E155" s="235"/>
      <c r="F155" s="50" t="s">
        <v>207</v>
      </c>
      <c r="G155" s="50" t="s">
        <v>685</v>
      </c>
      <c r="I155" s="332" t="s">
        <v>690</v>
      </c>
    </row>
    <row r="156" spans="3:9" ht="15.75">
      <c r="C156">
        <v>1</v>
      </c>
      <c r="D156" s="5" t="s">
        <v>5</v>
      </c>
      <c r="E156" s="6" t="s">
        <v>6</v>
      </c>
      <c r="F156" s="31">
        <f>6730.77*26-0.02</f>
        <v>175000.00000000003</v>
      </c>
      <c r="G156" s="331">
        <f>+I156</f>
        <v>175000</v>
      </c>
      <c r="H156" s="8" t="s">
        <v>688</v>
      </c>
      <c r="I156" s="331">
        <v>175000</v>
      </c>
    </row>
    <row r="157" spans="3:9" ht="15.75">
      <c r="C157">
        <v>1</v>
      </c>
      <c r="D157" s="6" t="s">
        <v>29</v>
      </c>
      <c r="E157" s="6" t="s">
        <v>30</v>
      </c>
      <c r="F157" s="233">
        <f>500*12</f>
        <v>6000</v>
      </c>
      <c r="G157" s="331">
        <f aca="true" t="shared" si="3" ref="G157:G194">+I157</f>
        <v>1500</v>
      </c>
      <c r="H157" s="8" t="s">
        <v>689</v>
      </c>
      <c r="I157" s="331">
        <f>3*500</f>
        <v>1500</v>
      </c>
    </row>
    <row r="158" spans="3:9" ht="15.75">
      <c r="C158">
        <v>1</v>
      </c>
      <c r="D158" s="6" t="s">
        <v>7</v>
      </c>
      <c r="E158" s="8" t="s">
        <v>8</v>
      </c>
      <c r="F158" s="233">
        <f>2500*12</f>
        <v>30000</v>
      </c>
      <c r="G158" s="331">
        <f t="shared" si="3"/>
        <v>7500</v>
      </c>
      <c r="H158" s="8" t="s">
        <v>689</v>
      </c>
      <c r="I158" s="331">
        <f>3*2500</f>
        <v>7500</v>
      </c>
    </row>
    <row r="159" spans="3:9" ht="15.75">
      <c r="C159">
        <v>1</v>
      </c>
      <c r="D159" s="5" t="s">
        <v>9</v>
      </c>
      <c r="E159" s="6" t="s">
        <v>75</v>
      </c>
      <c r="F159" s="31">
        <f>1000*12</f>
        <v>12000</v>
      </c>
      <c r="G159" s="331">
        <f t="shared" si="3"/>
        <v>3000</v>
      </c>
      <c r="H159" s="8" t="s">
        <v>689</v>
      </c>
      <c r="I159" s="331">
        <f>3*1000</f>
        <v>3000</v>
      </c>
    </row>
    <row r="160" spans="3:9" ht="15.75">
      <c r="C160">
        <v>1</v>
      </c>
      <c r="D160" s="6" t="s">
        <v>10</v>
      </c>
      <c r="E160" s="8" t="s">
        <v>11</v>
      </c>
      <c r="F160" s="234">
        <f>400*12</f>
        <v>4800</v>
      </c>
      <c r="G160" s="331">
        <f t="shared" si="3"/>
        <v>1200</v>
      </c>
      <c r="H160" s="8" t="s">
        <v>689</v>
      </c>
      <c r="I160" s="331">
        <f>3*400</f>
        <v>1200</v>
      </c>
    </row>
    <row r="161" spans="3:9" ht="15.75">
      <c r="C161">
        <v>1</v>
      </c>
      <c r="D161" s="6" t="s">
        <v>12</v>
      </c>
      <c r="E161" s="8" t="s">
        <v>11</v>
      </c>
      <c r="F161" s="234">
        <f>400*12</f>
        <v>4800</v>
      </c>
      <c r="G161" s="331">
        <f t="shared" si="3"/>
        <v>1200</v>
      </c>
      <c r="H161" s="8" t="s">
        <v>689</v>
      </c>
      <c r="I161" s="331">
        <f>3*400</f>
        <v>1200</v>
      </c>
    </row>
    <row r="162" spans="3:9" ht="15.75">
      <c r="C162">
        <v>1</v>
      </c>
      <c r="D162" s="6" t="s">
        <v>13</v>
      </c>
      <c r="E162" s="8" t="s">
        <v>11</v>
      </c>
      <c r="F162" s="234">
        <f>400*12</f>
        <v>4800</v>
      </c>
      <c r="G162" s="331">
        <f t="shared" si="3"/>
        <v>1200</v>
      </c>
      <c r="H162" s="8" t="s">
        <v>689</v>
      </c>
      <c r="I162" s="331">
        <f>3*400</f>
        <v>1200</v>
      </c>
    </row>
    <row r="163" spans="3:9" ht="15.75">
      <c r="C163">
        <v>1</v>
      </c>
      <c r="D163" s="6" t="s">
        <v>14</v>
      </c>
      <c r="E163" s="8" t="s">
        <v>11</v>
      </c>
      <c r="F163" s="234">
        <f>400*12</f>
        <v>4800</v>
      </c>
      <c r="G163" s="331">
        <f t="shared" si="3"/>
        <v>1200</v>
      </c>
      <c r="H163" s="8" t="s">
        <v>689</v>
      </c>
      <c r="I163" s="331">
        <f>3*400</f>
        <v>1200</v>
      </c>
    </row>
    <row r="164" spans="3:9" ht="15.75">
      <c r="C164">
        <v>1</v>
      </c>
      <c r="D164" s="6" t="s">
        <v>15</v>
      </c>
      <c r="E164" s="6" t="s">
        <v>39</v>
      </c>
      <c r="F164" s="233">
        <f>350*12</f>
        <v>4200</v>
      </c>
      <c r="G164" s="331">
        <f t="shared" si="3"/>
        <v>1050</v>
      </c>
      <c r="H164" s="8" t="s">
        <v>689</v>
      </c>
      <c r="I164" s="331">
        <f>3*350</f>
        <v>1050</v>
      </c>
    </row>
    <row r="165" spans="3:9" ht="15.75">
      <c r="C165">
        <v>1</v>
      </c>
      <c r="D165" s="6" t="s">
        <v>16</v>
      </c>
      <c r="E165" s="6" t="s">
        <v>73</v>
      </c>
      <c r="F165" s="233">
        <f>300*12</f>
        <v>3600</v>
      </c>
      <c r="G165" s="331">
        <f t="shared" si="3"/>
        <v>900</v>
      </c>
      <c r="H165" s="8" t="s">
        <v>689</v>
      </c>
      <c r="I165" s="331">
        <f>3*300</f>
        <v>900</v>
      </c>
    </row>
    <row r="166" spans="3:9" ht="15.75">
      <c r="C166">
        <v>1</v>
      </c>
      <c r="D166" s="6" t="s">
        <v>17</v>
      </c>
      <c r="E166" s="6" t="s">
        <v>73</v>
      </c>
      <c r="F166" s="233">
        <f>300*12</f>
        <v>3600</v>
      </c>
      <c r="G166" s="331">
        <f t="shared" si="3"/>
        <v>900</v>
      </c>
      <c r="H166" s="8" t="s">
        <v>689</v>
      </c>
      <c r="I166" s="331">
        <f>3*300</f>
        <v>900</v>
      </c>
    </row>
    <row r="167" spans="3:9" ht="15.75">
      <c r="C167">
        <v>1</v>
      </c>
      <c r="D167" s="6" t="s">
        <v>18</v>
      </c>
      <c r="E167" s="6" t="s">
        <v>73</v>
      </c>
      <c r="F167" s="233">
        <f>300*12</f>
        <v>3600</v>
      </c>
      <c r="G167" s="331">
        <f t="shared" si="3"/>
        <v>900</v>
      </c>
      <c r="H167" s="8" t="s">
        <v>689</v>
      </c>
      <c r="I167" s="331">
        <f>3*300</f>
        <v>900</v>
      </c>
    </row>
    <row r="168" spans="3:9" ht="15.75">
      <c r="C168">
        <v>1</v>
      </c>
      <c r="D168" s="5" t="s">
        <v>19</v>
      </c>
      <c r="E168" s="8" t="s">
        <v>20</v>
      </c>
      <c r="F168" s="233">
        <f>1500*12</f>
        <v>18000</v>
      </c>
      <c r="G168" s="331">
        <f t="shared" si="3"/>
        <v>4500</v>
      </c>
      <c r="H168" s="8" t="s">
        <v>689</v>
      </c>
      <c r="I168" s="331">
        <f>3*1500</f>
        <v>4500</v>
      </c>
    </row>
    <row r="169" spans="3:9" ht="15.75">
      <c r="C169">
        <v>1</v>
      </c>
      <c r="D169" s="6" t="s">
        <v>21</v>
      </c>
      <c r="E169" s="8" t="s">
        <v>22</v>
      </c>
      <c r="F169" s="233">
        <f>750*12</f>
        <v>9000</v>
      </c>
      <c r="G169" s="331">
        <f t="shared" si="3"/>
        <v>2250</v>
      </c>
      <c r="H169" s="8" t="s">
        <v>689</v>
      </c>
      <c r="I169" s="331">
        <f>3*750</f>
        <v>2250</v>
      </c>
    </row>
    <row r="170" spans="3:9" ht="15.75">
      <c r="C170">
        <v>1</v>
      </c>
      <c r="D170" s="6" t="s">
        <v>23</v>
      </c>
      <c r="E170" s="6" t="s">
        <v>30</v>
      </c>
      <c r="F170" s="233">
        <f>500*12</f>
        <v>6000</v>
      </c>
      <c r="G170" s="331">
        <f t="shared" si="3"/>
        <v>1500</v>
      </c>
      <c r="H170" s="8" t="s">
        <v>689</v>
      </c>
      <c r="I170" s="331">
        <f>3*500</f>
        <v>1500</v>
      </c>
    </row>
    <row r="171" spans="3:9" ht="15.75">
      <c r="C171">
        <v>1</v>
      </c>
      <c r="D171" s="6" t="s">
        <v>24</v>
      </c>
      <c r="E171" s="6" t="s">
        <v>11</v>
      </c>
      <c r="F171" s="233">
        <f>400*12</f>
        <v>4800</v>
      </c>
      <c r="G171" s="331">
        <f t="shared" si="3"/>
        <v>1200</v>
      </c>
      <c r="H171" s="8" t="s">
        <v>689</v>
      </c>
      <c r="I171" s="331">
        <f>3*400</f>
        <v>1200</v>
      </c>
    </row>
    <row r="172" spans="3:9" ht="15.75">
      <c r="C172">
        <v>1</v>
      </c>
      <c r="D172" s="6" t="s">
        <v>25</v>
      </c>
      <c r="E172" s="6" t="s">
        <v>11</v>
      </c>
      <c r="F172" s="233">
        <f>400*12</f>
        <v>4800</v>
      </c>
      <c r="G172" s="331">
        <f t="shared" si="3"/>
        <v>1200</v>
      </c>
      <c r="H172" s="8" t="s">
        <v>689</v>
      </c>
      <c r="I172" s="331">
        <f>3*400</f>
        <v>1200</v>
      </c>
    </row>
    <row r="173" spans="3:9" ht="15.75">
      <c r="C173">
        <v>1</v>
      </c>
      <c r="D173" s="6" t="s">
        <v>26</v>
      </c>
      <c r="E173" s="6" t="s">
        <v>11</v>
      </c>
      <c r="F173" s="233">
        <f>400*12</f>
        <v>4800</v>
      </c>
      <c r="G173" s="331">
        <f t="shared" si="3"/>
        <v>1200</v>
      </c>
      <c r="H173" s="8" t="s">
        <v>689</v>
      </c>
      <c r="I173" s="331">
        <f>3*400</f>
        <v>1200</v>
      </c>
    </row>
    <row r="174" spans="3:9" ht="15.75">
      <c r="C174">
        <v>1</v>
      </c>
      <c r="D174" s="5" t="s">
        <v>27</v>
      </c>
      <c r="E174" s="6" t="s">
        <v>76</v>
      </c>
      <c r="F174" s="234">
        <f>1200*12</f>
        <v>14400</v>
      </c>
      <c r="G174" s="331">
        <f t="shared" si="3"/>
        <v>3600</v>
      </c>
      <c r="H174" s="8" t="s">
        <v>689</v>
      </c>
      <c r="I174" s="331">
        <f>3*1200</f>
        <v>3600</v>
      </c>
    </row>
    <row r="175" spans="3:9" ht="15.75">
      <c r="C175">
        <v>1</v>
      </c>
      <c r="D175" s="6" t="s">
        <v>28</v>
      </c>
      <c r="E175" s="6" t="s">
        <v>30</v>
      </c>
      <c r="F175" s="233">
        <f>500*12</f>
        <v>6000</v>
      </c>
      <c r="G175" s="331">
        <f t="shared" si="3"/>
        <v>1500</v>
      </c>
      <c r="H175" s="8" t="s">
        <v>689</v>
      </c>
      <c r="I175" s="331">
        <f>3*500</f>
        <v>1500</v>
      </c>
    </row>
    <row r="176" spans="3:9" ht="15.75">
      <c r="C176">
        <v>1</v>
      </c>
      <c r="D176" s="6" t="s">
        <v>31</v>
      </c>
      <c r="E176" s="6" t="s">
        <v>30</v>
      </c>
      <c r="F176" s="233">
        <f>500*12</f>
        <v>6000</v>
      </c>
      <c r="G176" s="331">
        <f t="shared" si="3"/>
        <v>1500</v>
      </c>
      <c r="H176" s="8" t="s">
        <v>689</v>
      </c>
      <c r="I176" s="331">
        <f>3*500</f>
        <v>1500</v>
      </c>
    </row>
    <row r="177" spans="3:9" ht="15.75">
      <c r="C177">
        <v>1</v>
      </c>
      <c r="D177" s="6" t="s">
        <v>32</v>
      </c>
      <c r="E177" s="6" t="s">
        <v>11</v>
      </c>
      <c r="F177" s="233">
        <f>400*12</f>
        <v>4800</v>
      </c>
      <c r="G177" s="331">
        <f t="shared" si="3"/>
        <v>1200</v>
      </c>
      <c r="H177" s="8" t="s">
        <v>689</v>
      </c>
      <c r="I177" s="331">
        <f>3*400</f>
        <v>1200</v>
      </c>
    </row>
    <row r="178" spans="3:9" ht="15.75">
      <c r="C178">
        <v>1</v>
      </c>
      <c r="D178" s="6" t="s">
        <v>33</v>
      </c>
      <c r="E178" s="6" t="s">
        <v>11</v>
      </c>
      <c r="F178" s="233">
        <f>400*12</f>
        <v>4800</v>
      </c>
      <c r="G178" s="331">
        <f t="shared" si="3"/>
        <v>1200</v>
      </c>
      <c r="H178" s="8" t="s">
        <v>689</v>
      </c>
      <c r="I178" s="331">
        <f>3*400</f>
        <v>1200</v>
      </c>
    </row>
    <row r="179" spans="3:9" ht="15.75">
      <c r="C179">
        <v>1</v>
      </c>
      <c r="D179" s="5" t="s">
        <v>34</v>
      </c>
      <c r="E179" s="6" t="s">
        <v>20</v>
      </c>
      <c r="F179" s="31">
        <f>1500*12</f>
        <v>18000</v>
      </c>
      <c r="G179" s="331">
        <f t="shared" si="3"/>
        <v>4500</v>
      </c>
      <c r="H179" s="8" t="s">
        <v>689</v>
      </c>
      <c r="I179" s="331">
        <f>3*1500</f>
        <v>4500</v>
      </c>
    </row>
    <row r="180" spans="3:9" ht="15.75">
      <c r="C180">
        <v>1</v>
      </c>
      <c r="D180" s="5" t="s">
        <v>35</v>
      </c>
      <c r="E180" s="6" t="s">
        <v>74</v>
      </c>
      <c r="F180" s="31">
        <f>2500*12</f>
        <v>30000</v>
      </c>
      <c r="G180" s="331">
        <f t="shared" si="3"/>
        <v>7500</v>
      </c>
      <c r="H180" s="8" t="s">
        <v>689</v>
      </c>
      <c r="I180" s="331">
        <f>3*2500</f>
        <v>7500</v>
      </c>
    </row>
    <row r="181" spans="3:9" ht="15.75">
      <c r="C181">
        <v>1</v>
      </c>
      <c r="D181" s="6" t="s">
        <v>36</v>
      </c>
      <c r="E181" s="6" t="s">
        <v>30</v>
      </c>
      <c r="F181" s="31">
        <f>500*12</f>
        <v>6000</v>
      </c>
      <c r="G181" s="331">
        <f t="shared" si="3"/>
        <v>1500</v>
      </c>
      <c r="H181" s="8" t="s">
        <v>689</v>
      </c>
      <c r="I181" s="331">
        <f>3*500</f>
        <v>1500</v>
      </c>
    </row>
    <row r="182" spans="3:9" ht="15.75">
      <c r="C182">
        <v>1</v>
      </c>
      <c r="D182" s="6" t="s">
        <v>37</v>
      </c>
      <c r="E182" s="6" t="s">
        <v>30</v>
      </c>
      <c r="F182" s="31">
        <f>500*12</f>
        <v>6000</v>
      </c>
      <c r="G182" s="331">
        <f t="shared" si="3"/>
        <v>1500</v>
      </c>
      <c r="H182" s="8" t="s">
        <v>689</v>
      </c>
      <c r="I182" s="331">
        <f>3*500</f>
        <v>1500</v>
      </c>
    </row>
    <row r="183" spans="3:9" ht="15.75">
      <c r="C183">
        <v>1</v>
      </c>
      <c r="D183" s="6" t="s">
        <v>38</v>
      </c>
      <c r="E183" s="6" t="s">
        <v>39</v>
      </c>
      <c r="F183" s="31">
        <f>350*12</f>
        <v>4200</v>
      </c>
      <c r="G183" s="331">
        <f t="shared" si="3"/>
        <v>1050</v>
      </c>
      <c r="H183" s="8" t="s">
        <v>689</v>
      </c>
      <c r="I183" s="331">
        <f>3*350</f>
        <v>1050</v>
      </c>
    </row>
    <row r="184" spans="3:9" ht="15.75">
      <c r="C184">
        <v>1</v>
      </c>
      <c r="D184" s="6" t="s">
        <v>40</v>
      </c>
      <c r="E184" s="6" t="s">
        <v>11</v>
      </c>
      <c r="F184" s="31">
        <f>400*12</f>
        <v>4800</v>
      </c>
      <c r="G184" s="331">
        <f t="shared" si="3"/>
        <v>1200</v>
      </c>
      <c r="H184" s="8" t="s">
        <v>689</v>
      </c>
      <c r="I184" s="331">
        <f>3*400</f>
        <v>1200</v>
      </c>
    </row>
    <row r="185" spans="3:9" ht="15.75">
      <c r="C185">
        <v>1</v>
      </c>
      <c r="D185" s="6" t="s">
        <v>41</v>
      </c>
      <c r="E185" s="6" t="s">
        <v>11</v>
      </c>
      <c r="F185" s="31">
        <f>400*12</f>
        <v>4800</v>
      </c>
      <c r="G185" s="331">
        <f t="shared" si="3"/>
        <v>1200</v>
      </c>
      <c r="H185" s="8" t="s">
        <v>689</v>
      </c>
      <c r="I185" s="331">
        <f>3*400</f>
        <v>1200</v>
      </c>
    </row>
    <row r="186" spans="3:9" ht="15.75">
      <c r="C186">
        <v>1</v>
      </c>
      <c r="D186" s="6" t="s">
        <v>42</v>
      </c>
      <c r="E186" s="6" t="s">
        <v>11</v>
      </c>
      <c r="F186" s="31">
        <f>400*12</f>
        <v>4800</v>
      </c>
      <c r="G186" s="331">
        <f t="shared" si="3"/>
        <v>1200</v>
      </c>
      <c r="H186" s="8" t="s">
        <v>689</v>
      </c>
      <c r="I186" s="331">
        <f>3*400</f>
        <v>1200</v>
      </c>
    </row>
    <row r="187" spans="3:9" ht="15.75">
      <c r="C187">
        <v>1</v>
      </c>
      <c r="D187" s="6" t="s">
        <v>43</v>
      </c>
      <c r="E187" s="6" t="s">
        <v>11</v>
      </c>
      <c r="F187" s="31">
        <f>400*12</f>
        <v>4800</v>
      </c>
      <c r="G187" s="331">
        <f t="shared" si="3"/>
        <v>1200</v>
      </c>
      <c r="H187" s="8" t="s">
        <v>689</v>
      </c>
      <c r="I187" s="331">
        <f>3*400</f>
        <v>1200</v>
      </c>
    </row>
    <row r="188" spans="3:9" ht="15.75">
      <c r="C188">
        <v>1</v>
      </c>
      <c r="D188" s="6" t="s">
        <v>44</v>
      </c>
      <c r="E188" s="6" t="s">
        <v>39</v>
      </c>
      <c r="F188" s="31">
        <f>350*12</f>
        <v>4200</v>
      </c>
      <c r="G188" s="331">
        <f t="shared" si="3"/>
        <v>1050</v>
      </c>
      <c r="H188" s="8" t="s">
        <v>689</v>
      </c>
      <c r="I188" s="331">
        <f>3*350</f>
        <v>1050</v>
      </c>
    </row>
    <row r="189" spans="3:9" ht="15.75">
      <c r="C189">
        <v>1</v>
      </c>
      <c r="D189" s="6" t="s">
        <v>45</v>
      </c>
      <c r="E189" s="6" t="s">
        <v>39</v>
      </c>
      <c r="F189" s="31">
        <f>350*12</f>
        <v>4200</v>
      </c>
      <c r="G189" s="331">
        <f t="shared" si="3"/>
        <v>1050</v>
      </c>
      <c r="H189" s="8" t="s">
        <v>689</v>
      </c>
      <c r="I189" s="331">
        <f>3*350</f>
        <v>1050</v>
      </c>
    </row>
    <row r="190" spans="3:9" ht="15.75">
      <c r="C190">
        <v>1</v>
      </c>
      <c r="D190" s="6" t="s">
        <v>46</v>
      </c>
      <c r="E190" s="6" t="s">
        <v>30</v>
      </c>
      <c r="F190" s="31">
        <f>500*12</f>
        <v>6000</v>
      </c>
      <c r="G190" s="331">
        <f t="shared" si="3"/>
        <v>1500</v>
      </c>
      <c r="H190" s="8" t="s">
        <v>689</v>
      </c>
      <c r="I190" s="331">
        <f>3*500</f>
        <v>1500</v>
      </c>
    </row>
    <row r="191" spans="3:9" ht="15.75">
      <c r="C191">
        <v>1</v>
      </c>
      <c r="D191" s="6" t="s">
        <v>47</v>
      </c>
      <c r="E191" s="6" t="s">
        <v>11</v>
      </c>
      <c r="F191" s="31">
        <f>400*12</f>
        <v>4800</v>
      </c>
      <c r="G191" s="331">
        <f t="shared" si="3"/>
        <v>1200</v>
      </c>
      <c r="H191" s="8" t="s">
        <v>689</v>
      </c>
      <c r="I191" s="331">
        <f>3*400</f>
        <v>1200</v>
      </c>
    </row>
    <row r="192" spans="3:9" ht="15.75">
      <c r="C192">
        <v>1</v>
      </c>
      <c r="D192" s="6" t="s">
        <v>48</v>
      </c>
      <c r="E192" s="6" t="s">
        <v>11</v>
      </c>
      <c r="F192" s="31">
        <f>400*12</f>
        <v>4800</v>
      </c>
      <c r="G192" s="331">
        <f t="shared" si="3"/>
        <v>1200</v>
      </c>
      <c r="H192" s="8" t="s">
        <v>689</v>
      </c>
      <c r="I192" s="331">
        <f>3*400</f>
        <v>1200</v>
      </c>
    </row>
    <row r="193" spans="3:9" ht="15.75">
      <c r="C193">
        <v>1</v>
      </c>
      <c r="D193" s="6" t="s">
        <v>49</v>
      </c>
      <c r="E193" s="6" t="s">
        <v>73</v>
      </c>
      <c r="F193" s="31">
        <f>300*12</f>
        <v>3600</v>
      </c>
      <c r="G193" s="331">
        <f t="shared" si="3"/>
        <v>900</v>
      </c>
      <c r="H193" s="8" t="s">
        <v>689</v>
      </c>
      <c r="I193" s="331">
        <f>3*300</f>
        <v>900</v>
      </c>
    </row>
    <row r="194" spans="3:9" ht="15.75">
      <c r="C194">
        <v>1</v>
      </c>
      <c r="D194" s="6" t="s">
        <v>50</v>
      </c>
      <c r="E194" s="6" t="s">
        <v>73</v>
      </c>
      <c r="F194" s="31">
        <f>300*12</f>
        <v>3600</v>
      </c>
      <c r="G194" s="331">
        <f t="shared" si="3"/>
        <v>900</v>
      </c>
      <c r="H194" s="8" t="s">
        <v>689</v>
      </c>
      <c r="I194" s="331">
        <f>3*300</f>
        <v>900</v>
      </c>
    </row>
    <row r="196" spans="3:7" ht="15.75">
      <c r="C196" s="206">
        <f>SUM(C156:C194)</f>
        <v>39</v>
      </c>
      <c r="D196" s="204" t="s">
        <v>72</v>
      </c>
      <c r="E196" s="204"/>
      <c r="F196" s="205">
        <f>SUM(F156:F194)</f>
        <v>455200</v>
      </c>
      <c r="G196" s="205">
        <f>SUM(G156:G194)</f>
        <v>245050</v>
      </c>
    </row>
    <row r="197" spans="3:7" ht="15.75">
      <c r="C197" s="342"/>
      <c r="D197" s="208"/>
      <c r="E197" s="208"/>
      <c r="F197" s="343"/>
      <c r="G197" s="343"/>
    </row>
    <row r="200" spans="4:6" ht="15.75">
      <c r="D200" s="204" t="s">
        <v>110</v>
      </c>
      <c r="E200" s="6"/>
      <c r="F200" s="9"/>
    </row>
    <row r="201" spans="3:9" ht="15.75">
      <c r="C201">
        <v>1</v>
      </c>
      <c r="D201" s="6" t="s">
        <v>51</v>
      </c>
      <c r="E201" s="6" t="s">
        <v>543</v>
      </c>
      <c r="F201" s="31">
        <f>2500*12</f>
        <v>30000</v>
      </c>
      <c r="G201" s="331">
        <f aca="true" t="shared" si="4" ref="G201:G226">+I201</f>
        <v>7500</v>
      </c>
      <c r="H201" s="8" t="s">
        <v>689</v>
      </c>
      <c r="I201" s="331">
        <f>2500*3</f>
        <v>7500</v>
      </c>
    </row>
    <row r="202" spans="3:9" ht="15.75">
      <c r="C202">
        <v>1</v>
      </c>
      <c r="D202" s="6" t="s">
        <v>52</v>
      </c>
      <c r="E202" s="6" t="s">
        <v>543</v>
      </c>
      <c r="F202" s="31">
        <f>2500*12</f>
        <v>30000</v>
      </c>
      <c r="G202" s="331">
        <f t="shared" si="4"/>
        <v>7500</v>
      </c>
      <c r="H202" s="8" t="s">
        <v>689</v>
      </c>
      <c r="I202" s="331">
        <f>2500*3</f>
        <v>7500</v>
      </c>
    </row>
    <row r="203" spans="3:9" ht="15.75">
      <c r="C203">
        <v>1</v>
      </c>
      <c r="D203" s="6" t="s">
        <v>53</v>
      </c>
      <c r="E203" s="6" t="s">
        <v>543</v>
      </c>
      <c r="F203" s="31">
        <f>2500*12</f>
        <v>30000</v>
      </c>
      <c r="G203" s="331">
        <f t="shared" si="4"/>
        <v>7500</v>
      </c>
      <c r="H203" s="8" t="s">
        <v>689</v>
      </c>
      <c r="I203" s="331">
        <f>2500*3</f>
        <v>7500</v>
      </c>
    </row>
    <row r="204" spans="3:9" ht="15.75">
      <c r="C204">
        <v>1</v>
      </c>
      <c r="D204" s="6" t="s">
        <v>54</v>
      </c>
      <c r="E204" s="6" t="s">
        <v>544</v>
      </c>
      <c r="F204" s="31">
        <f aca="true" t="shared" si="5" ref="F204:F209">500*12</f>
        <v>6000</v>
      </c>
      <c r="G204" s="331">
        <f t="shared" si="4"/>
        <v>1500</v>
      </c>
      <c r="H204" s="8" t="s">
        <v>689</v>
      </c>
      <c r="I204" s="331">
        <f aca="true" t="shared" si="6" ref="I204:I209">500*3</f>
        <v>1500</v>
      </c>
    </row>
    <row r="205" spans="3:9" ht="15.75">
      <c r="C205">
        <v>1</v>
      </c>
      <c r="D205" s="6" t="s">
        <v>55</v>
      </c>
      <c r="E205" s="6" t="s">
        <v>544</v>
      </c>
      <c r="F205" s="31">
        <f t="shared" si="5"/>
        <v>6000</v>
      </c>
      <c r="G205" s="331">
        <f t="shared" si="4"/>
        <v>1500</v>
      </c>
      <c r="H205" s="8" t="s">
        <v>689</v>
      </c>
      <c r="I205" s="331">
        <f t="shared" si="6"/>
        <v>1500</v>
      </c>
    </row>
    <row r="206" spans="3:9" ht="15.75">
      <c r="C206">
        <v>1</v>
      </c>
      <c r="D206" s="6" t="s">
        <v>56</v>
      </c>
      <c r="E206" s="6" t="s">
        <v>544</v>
      </c>
      <c r="F206" s="31">
        <f t="shared" si="5"/>
        <v>6000</v>
      </c>
      <c r="G206" s="331">
        <f t="shared" si="4"/>
        <v>1500</v>
      </c>
      <c r="H206" s="8" t="s">
        <v>689</v>
      </c>
      <c r="I206" s="331">
        <f t="shared" si="6"/>
        <v>1500</v>
      </c>
    </row>
    <row r="207" spans="3:9" ht="15.75">
      <c r="C207">
        <v>1</v>
      </c>
      <c r="D207" s="6" t="s">
        <v>57</v>
      </c>
      <c r="E207" s="6" t="s">
        <v>544</v>
      </c>
      <c r="F207" s="31">
        <f t="shared" si="5"/>
        <v>6000</v>
      </c>
      <c r="G207" s="331">
        <f t="shared" si="4"/>
        <v>1500</v>
      </c>
      <c r="H207" s="8" t="s">
        <v>689</v>
      </c>
      <c r="I207" s="331">
        <f t="shared" si="6"/>
        <v>1500</v>
      </c>
    </row>
    <row r="208" spans="3:9" ht="15.75">
      <c r="C208">
        <v>1</v>
      </c>
      <c r="D208" s="6" t="s">
        <v>58</v>
      </c>
      <c r="E208" s="6" t="s">
        <v>544</v>
      </c>
      <c r="F208" s="31">
        <f t="shared" si="5"/>
        <v>6000</v>
      </c>
      <c r="G208" s="331">
        <f t="shared" si="4"/>
        <v>1500</v>
      </c>
      <c r="H208" s="8" t="s">
        <v>689</v>
      </c>
      <c r="I208" s="331">
        <f t="shared" si="6"/>
        <v>1500</v>
      </c>
    </row>
    <row r="209" spans="3:9" ht="15.75">
      <c r="C209">
        <v>1</v>
      </c>
      <c r="D209" s="6" t="s">
        <v>59</v>
      </c>
      <c r="E209" s="6" t="s">
        <v>544</v>
      </c>
      <c r="F209" s="31">
        <f t="shared" si="5"/>
        <v>6000</v>
      </c>
      <c r="G209" s="331">
        <f t="shared" si="4"/>
        <v>1500</v>
      </c>
      <c r="H209" s="8" t="s">
        <v>689</v>
      </c>
      <c r="I209" s="331">
        <f t="shared" si="6"/>
        <v>1500</v>
      </c>
    </row>
    <row r="210" spans="3:9" ht="15.75">
      <c r="C210">
        <v>1</v>
      </c>
      <c r="D210" s="6" t="s">
        <v>60</v>
      </c>
      <c r="E210" s="6" t="s">
        <v>545</v>
      </c>
      <c r="F210" s="31">
        <f>750*12</f>
        <v>9000</v>
      </c>
      <c r="G210" s="331">
        <f t="shared" si="4"/>
        <v>2250</v>
      </c>
      <c r="H210" s="8" t="s">
        <v>689</v>
      </c>
      <c r="I210" s="331">
        <f>3*750</f>
        <v>2250</v>
      </c>
    </row>
    <row r="211" spans="3:9" ht="15.75">
      <c r="C211">
        <v>1</v>
      </c>
      <c r="D211" s="6" t="s">
        <v>61</v>
      </c>
      <c r="E211" s="6" t="s">
        <v>545</v>
      </c>
      <c r="F211" s="31">
        <f>750*12</f>
        <v>9000</v>
      </c>
      <c r="G211" s="331">
        <f t="shared" si="4"/>
        <v>2250</v>
      </c>
      <c r="H211" s="8" t="s">
        <v>689</v>
      </c>
      <c r="I211" s="331">
        <f>3*750</f>
        <v>2250</v>
      </c>
    </row>
    <row r="212" spans="3:9" ht="15.75">
      <c r="C212">
        <v>1</v>
      </c>
      <c r="D212" s="6" t="s">
        <v>62</v>
      </c>
      <c r="E212" s="6" t="s">
        <v>544</v>
      </c>
      <c r="F212" s="31">
        <f>500*12</f>
        <v>6000</v>
      </c>
      <c r="G212" s="331">
        <f t="shared" si="4"/>
        <v>1500</v>
      </c>
      <c r="H212" s="8" t="s">
        <v>689</v>
      </c>
      <c r="I212" s="331">
        <f>3*500</f>
        <v>1500</v>
      </c>
    </row>
    <row r="213" spans="3:9" ht="15.75">
      <c r="C213">
        <v>1</v>
      </c>
      <c r="D213" s="6" t="s">
        <v>63</v>
      </c>
      <c r="E213" s="6" t="s">
        <v>545</v>
      </c>
      <c r="F213" s="31">
        <f>750*12</f>
        <v>9000</v>
      </c>
      <c r="G213" s="331">
        <f t="shared" si="4"/>
        <v>2250</v>
      </c>
      <c r="H213" s="8" t="s">
        <v>689</v>
      </c>
      <c r="I213" s="331">
        <f>3*750</f>
        <v>2250</v>
      </c>
    </row>
    <row r="214" spans="3:9" ht="15.75">
      <c r="C214">
        <v>1</v>
      </c>
      <c r="D214" s="6" t="s">
        <v>64</v>
      </c>
      <c r="E214" s="6" t="s">
        <v>544</v>
      </c>
      <c r="F214" s="31">
        <f>500*12</f>
        <v>6000</v>
      </c>
      <c r="G214" s="331">
        <f t="shared" si="4"/>
        <v>1500</v>
      </c>
      <c r="H214" s="8" t="s">
        <v>689</v>
      </c>
      <c r="I214" s="331">
        <f>3*500</f>
        <v>1500</v>
      </c>
    </row>
    <row r="215" spans="3:9" ht="15.75">
      <c r="C215">
        <v>1</v>
      </c>
      <c r="D215" s="6" t="s">
        <v>65</v>
      </c>
      <c r="E215" s="6" t="s">
        <v>544</v>
      </c>
      <c r="F215" s="31">
        <f>500*12</f>
        <v>6000</v>
      </c>
      <c r="G215" s="331">
        <f t="shared" si="4"/>
        <v>1500</v>
      </c>
      <c r="H215" s="8" t="s">
        <v>689</v>
      </c>
      <c r="I215" s="331">
        <f>3*500</f>
        <v>1500</v>
      </c>
    </row>
    <row r="216" spans="3:9" ht="15.75">
      <c r="C216">
        <v>1</v>
      </c>
      <c r="D216" s="6" t="s">
        <v>66</v>
      </c>
      <c r="E216" s="6" t="s">
        <v>544</v>
      </c>
      <c r="F216" s="31">
        <f>500*12</f>
        <v>6000</v>
      </c>
      <c r="G216" s="331">
        <f t="shared" si="4"/>
        <v>1500</v>
      </c>
      <c r="H216" s="8" t="s">
        <v>689</v>
      </c>
      <c r="I216" s="331">
        <f>3*500</f>
        <v>1500</v>
      </c>
    </row>
    <row r="217" spans="3:9" ht="15.75">
      <c r="C217" s="30">
        <f>+'Labor Budget'!A71</f>
        <v>1750</v>
      </c>
      <c r="D217" s="6" t="s">
        <v>554</v>
      </c>
      <c r="E217" s="333" t="s">
        <v>117</v>
      </c>
      <c r="F217" s="31">
        <f>+'Labor Budget'!D71</f>
        <v>3192000</v>
      </c>
      <c r="G217" s="331">
        <f t="shared" si="4"/>
        <v>903600</v>
      </c>
      <c r="H217" s="8" t="s">
        <v>689</v>
      </c>
      <c r="I217" s="331">
        <f>+H258*3</f>
        <v>903600</v>
      </c>
    </row>
    <row r="218" spans="3:9" ht="15.75">
      <c r="C218" s="30"/>
      <c r="D218" t="s">
        <v>119</v>
      </c>
      <c r="E218" s="31"/>
      <c r="F218" s="31"/>
      <c r="G218" s="331">
        <f t="shared" si="4"/>
        <v>0</v>
      </c>
      <c r="I218" s="331"/>
    </row>
    <row r="219" spans="3:9" ht="15.75">
      <c r="C219" s="30">
        <f>+'Labor Budget'!A73</f>
        <v>32</v>
      </c>
      <c r="D219" s="6" t="s">
        <v>555</v>
      </c>
      <c r="E219" s="335" t="s">
        <v>118</v>
      </c>
      <c r="F219" s="31">
        <f>+'Labor Budget'!D73</f>
        <v>107712</v>
      </c>
      <c r="G219" s="331">
        <f t="shared" si="4"/>
        <v>28512</v>
      </c>
      <c r="H219" s="8" t="s">
        <v>689</v>
      </c>
      <c r="I219" s="331">
        <f>+L258*3</f>
        <v>28512</v>
      </c>
    </row>
    <row r="220" spans="3:9" ht="15.75">
      <c r="C220" s="30"/>
      <c r="D220" t="s">
        <v>119</v>
      </c>
      <c r="E220" s="6"/>
      <c r="F220" s="31"/>
      <c r="G220" s="331">
        <f t="shared" si="4"/>
        <v>0</v>
      </c>
      <c r="I220" s="331"/>
    </row>
    <row r="221" spans="3:9" ht="15.75">
      <c r="C221">
        <v>1</v>
      </c>
      <c r="D221" s="5" t="s">
        <v>67</v>
      </c>
      <c r="E221" s="6" t="s">
        <v>551</v>
      </c>
      <c r="F221" s="31">
        <f>2000*12</f>
        <v>24000</v>
      </c>
      <c r="G221" s="331">
        <f t="shared" si="4"/>
        <v>6000</v>
      </c>
      <c r="H221" s="8" t="s">
        <v>689</v>
      </c>
      <c r="I221" s="331">
        <f>3*2000</f>
        <v>6000</v>
      </c>
    </row>
    <row r="222" spans="3:9" ht="15.75">
      <c r="C222">
        <v>1</v>
      </c>
      <c r="D222" s="5" t="s">
        <v>68</v>
      </c>
      <c r="E222" s="6" t="s">
        <v>551</v>
      </c>
      <c r="F222" s="31">
        <f>2000*12</f>
        <v>24000</v>
      </c>
      <c r="G222" s="331">
        <f t="shared" si="4"/>
        <v>6000</v>
      </c>
      <c r="H222" s="8" t="s">
        <v>689</v>
      </c>
      <c r="I222" s="331">
        <f>3*2000</f>
        <v>6000</v>
      </c>
    </row>
    <row r="223" spans="3:9" ht="15.75">
      <c r="C223">
        <v>1</v>
      </c>
      <c r="D223" s="5" t="s">
        <v>69</v>
      </c>
      <c r="E223" s="6" t="s">
        <v>551</v>
      </c>
      <c r="F223" s="31">
        <f>2000*12</f>
        <v>24000</v>
      </c>
      <c r="G223" s="331">
        <f t="shared" si="4"/>
        <v>6000</v>
      </c>
      <c r="H223" s="8" t="s">
        <v>689</v>
      </c>
      <c r="I223" s="331">
        <f>3*2000</f>
        <v>6000</v>
      </c>
    </row>
    <row r="224" spans="3:9" ht="15.75">
      <c r="C224" s="6">
        <v>1</v>
      </c>
      <c r="D224" s="5" t="s">
        <v>70</v>
      </c>
      <c r="E224" s="6" t="s">
        <v>552</v>
      </c>
      <c r="F224" s="31">
        <f>3000*12</f>
        <v>36000</v>
      </c>
      <c r="G224" s="331">
        <f t="shared" si="4"/>
        <v>9000</v>
      </c>
      <c r="H224" s="8" t="s">
        <v>689</v>
      </c>
      <c r="I224" s="331">
        <f>3*3000</f>
        <v>9000</v>
      </c>
    </row>
    <row r="225" spans="3:9" ht="15.75">
      <c r="C225" s="6">
        <v>1</v>
      </c>
      <c r="D225" s="6" t="s">
        <v>71</v>
      </c>
      <c r="E225" s="6" t="s">
        <v>553</v>
      </c>
      <c r="F225" s="31">
        <f>1500*12</f>
        <v>18000</v>
      </c>
      <c r="G225" s="331">
        <f t="shared" si="4"/>
        <v>4500</v>
      </c>
      <c r="H225" s="8" t="s">
        <v>689</v>
      </c>
      <c r="I225" s="331">
        <f>3*1500</f>
        <v>4500</v>
      </c>
    </row>
    <row r="226" spans="3:9" ht="15.75">
      <c r="C226">
        <v>15</v>
      </c>
      <c r="D226" s="6" t="s">
        <v>587</v>
      </c>
      <c r="E226" s="6" t="s">
        <v>588</v>
      </c>
      <c r="F226" s="31">
        <f>400*12*25</f>
        <v>120000</v>
      </c>
      <c r="G226" s="331">
        <f t="shared" si="4"/>
        <v>1200</v>
      </c>
      <c r="H226" s="8" t="s">
        <v>689</v>
      </c>
      <c r="I226" s="331">
        <f>3*400</f>
        <v>1200</v>
      </c>
    </row>
    <row r="227" spans="3:9" ht="15.75">
      <c r="C227" s="30"/>
      <c r="E227" s="6"/>
      <c r="F227" s="31"/>
      <c r="I227" s="331"/>
    </row>
    <row r="228" spans="3:9" ht="15.75">
      <c r="C228" s="266">
        <f>SUM(C201:C226)</f>
        <v>1818</v>
      </c>
      <c r="D228" s="204" t="s">
        <v>72</v>
      </c>
      <c r="E228" s="204"/>
      <c r="F228" s="267">
        <f>SUM(F201:F226)</f>
        <v>3722712</v>
      </c>
      <c r="G228" s="267">
        <f>SUM(G201:G226)</f>
        <v>1009062</v>
      </c>
      <c r="I228" s="331"/>
    </row>
    <row r="229" spans="3:9" ht="15.75">
      <c r="C229" s="340"/>
      <c r="D229" s="208"/>
      <c r="E229" s="208"/>
      <c r="F229" s="341"/>
      <c r="G229" s="341"/>
      <c r="H229" s="64"/>
      <c r="I229" s="331"/>
    </row>
    <row r="230" spans="3:9" ht="15.75">
      <c r="C230" s="340"/>
      <c r="D230" s="217" t="s">
        <v>693</v>
      </c>
      <c r="E230" s="217"/>
      <c r="F230" s="252"/>
      <c r="G230" s="252">
        <v>-409062</v>
      </c>
      <c r="H230" s="64"/>
      <c r="I230" s="331"/>
    </row>
    <row r="231" spans="3:9" ht="15.75">
      <c r="C231" s="340"/>
      <c r="D231" s="208"/>
      <c r="E231" s="208"/>
      <c r="F231" s="341"/>
      <c r="G231" s="341"/>
      <c r="H231" s="64"/>
      <c r="I231" s="331"/>
    </row>
    <row r="232" spans="3:9" ht="15.75">
      <c r="C232" s="340"/>
      <c r="D232" s="344" t="s">
        <v>694</v>
      </c>
      <c r="E232" s="344"/>
      <c r="F232" s="345"/>
      <c r="G232" s="345">
        <f>+G228+G230</f>
        <v>600000</v>
      </c>
      <c r="H232" s="64"/>
      <c r="I232" s="331"/>
    </row>
    <row r="233" spans="3:9" ht="15.75">
      <c r="C233" s="340"/>
      <c r="D233" s="208"/>
      <c r="E233" s="208"/>
      <c r="F233" s="341"/>
      <c r="G233" s="341"/>
      <c r="H233" s="64"/>
      <c r="I233" s="331"/>
    </row>
    <row r="234" ht="15.75">
      <c r="I234" s="331"/>
    </row>
    <row r="235" ht="15">
      <c r="A235" t="s">
        <v>692</v>
      </c>
    </row>
    <row r="236" spans="6:14" ht="15">
      <c r="F236" t="s">
        <v>77</v>
      </c>
      <c r="G236" t="s">
        <v>72</v>
      </c>
      <c r="H236" t="s">
        <v>78</v>
      </c>
      <c r="I236" t="s">
        <v>79</v>
      </c>
      <c r="J236" t="s">
        <v>79</v>
      </c>
      <c r="K236" t="s">
        <v>72</v>
      </c>
      <c r="L236" t="s">
        <v>78</v>
      </c>
      <c r="M236" t="s">
        <v>80</v>
      </c>
      <c r="N236" t="s">
        <v>72</v>
      </c>
    </row>
    <row r="237" spans="5:14" ht="15">
      <c r="E237" t="s">
        <v>72</v>
      </c>
      <c r="F237" t="s">
        <v>81</v>
      </c>
      <c r="G237" t="s">
        <v>81</v>
      </c>
      <c r="H237" t="s">
        <v>82</v>
      </c>
      <c r="I237" t="s">
        <v>83</v>
      </c>
      <c r="J237" t="s">
        <v>84</v>
      </c>
      <c r="K237" t="s">
        <v>81</v>
      </c>
      <c r="L237" t="s">
        <v>82</v>
      </c>
      <c r="M237" t="s">
        <v>72</v>
      </c>
      <c r="N237" t="s">
        <v>85</v>
      </c>
    </row>
    <row r="238" spans="5:14" ht="15">
      <c r="E238" t="s">
        <v>86</v>
      </c>
      <c r="F238" t="s">
        <v>87</v>
      </c>
      <c r="G238" t="s">
        <v>87</v>
      </c>
      <c r="H238" t="s">
        <v>88</v>
      </c>
      <c r="I238" t="s">
        <v>86</v>
      </c>
      <c r="J238" t="s">
        <v>87</v>
      </c>
      <c r="K238" t="s">
        <v>87</v>
      </c>
      <c r="L238" t="s">
        <v>88</v>
      </c>
      <c r="M238" t="s">
        <v>89</v>
      </c>
      <c r="N238" t="s">
        <v>87</v>
      </c>
    </row>
    <row r="239" ht="15">
      <c r="C239" s="54" t="s">
        <v>107</v>
      </c>
    </row>
    <row r="240" spans="3:14" ht="15">
      <c r="C240" s="15" t="s">
        <v>108</v>
      </c>
      <c r="D240" s="15"/>
      <c r="E240" s="15">
        <v>200</v>
      </c>
      <c r="F240" s="16">
        <v>8</v>
      </c>
      <c r="G240" s="16">
        <f>+E240*F240</f>
        <v>1600</v>
      </c>
      <c r="H240" s="16">
        <f>+G240*24</f>
        <v>38400</v>
      </c>
      <c r="I240" s="17">
        <v>2</v>
      </c>
      <c r="J240" s="16">
        <v>12</v>
      </c>
      <c r="K240" s="18">
        <f>+I240*J240</f>
        <v>24</v>
      </c>
      <c r="L240" s="16">
        <f>+K240*24</f>
        <v>576</v>
      </c>
      <c r="M240" s="19">
        <f aca="true" t="shared" si="7" ref="M240:M255">+E240+I240</f>
        <v>202</v>
      </c>
      <c r="N240" s="16">
        <f aca="true" t="shared" si="8" ref="N240:N255">+H240+L240</f>
        <v>38976</v>
      </c>
    </row>
    <row r="241" spans="3:14" ht="15">
      <c r="C241" s="20" t="s">
        <v>90</v>
      </c>
      <c r="D241" s="20"/>
      <c r="E241" s="20">
        <v>300</v>
      </c>
      <c r="F241" s="21">
        <v>7</v>
      </c>
      <c r="G241" s="21">
        <f>+E241*F241</f>
        <v>2100</v>
      </c>
      <c r="H241" s="21">
        <f>+G241*24</f>
        <v>50400</v>
      </c>
      <c r="I241" s="22">
        <v>2</v>
      </c>
      <c r="J241" s="21">
        <v>12</v>
      </c>
      <c r="K241" s="23">
        <f aca="true" t="shared" si="9" ref="K241:K255">+I241*J241</f>
        <v>24</v>
      </c>
      <c r="L241" s="21">
        <f aca="true" t="shared" si="10" ref="L241:L255">+K241*24</f>
        <v>576</v>
      </c>
      <c r="M241" s="24">
        <f t="shared" si="7"/>
        <v>302</v>
      </c>
      <c r="N241" s="21">
        <f t="shared" si="8"/>
        <v>50976</v>
      </c>
    </row>
    <row r="242" spans="3:14" ht="15">
      <c r="C242" s="15" t="s">
        <v>91</v>
      </c>
      <c r="D242" s="15"/>
      <c r="E242" s="15">
        <v>150</v>
      </c>
      <c r="F242" s="16">
        <v>7</v>
      </c>
      <c r="G242" s="16">
        <f>+E242*F242</f>
        <v>1050</v>
      </c>
      <c r="H242" s="16">
        <f>+G242*24</f>
        <v>25200</v>
      </c>
      <c r="I242" s="17">
        <v>2</v>
      </c>
      <c r="J242" s="16">
        <v>12</v>
      </c>
      <c r="K242" s="18">
        <f t="shared" si="9"/>
        <v>24</v>
      </c>
      <c r="L242" s="16">
        <f t="shared" si="10"/>
        <v>576</v>
      </c>
      <c r="M242" s="19">
        <f t="shared" si="7"/>
        <v>152</v>
      </c>
      <c r="N242" s="16">
        <f t="shared" si="8"/>
        <v>25776</v>
      </c>
    </row>
    <row r="243" spans="3:14" ht="15">
      <c r="C243" s="20" t="s">
        <v>92</v>
      </c>
      <c r="D243" s="20"/>
      <c r="E243" s="20">
        <v>200</v>
      </c>
      <c r="F243" s="21">
        <v>7</v>
      </c>
      <c r="G243" s="21">
        <f aca="true" t="shared" si="11" ref="G243:G255">+E243*F243</f>
        <v>1400</v>
      </c>
      <c r="H243" s="21">
        <f aca="true" t="shared" si="12" ref="H243:H255">+G243*24</f>
        <v>33600</v>
      </c>
      <c r="I243" s="22">
        <v>2</v>
      </c>
      <c r="J243" s="21">
        <v>12</v>
      </c>
      <c r="K243" s="23">
        <f t="shared" si="9"/>
        <v>24</v>
      </c>
      <c r="L243" s="21">
        <f t="shared" si="10"/>
        <v>576</v>
      </c>
      <c r="M243" s="24">
        <f t="shared" si="7"/>
        <v>202</v>
      </c>
      <c r="N243" s="21">
        <f t="shared" si="8"/>
        <v>34176</v>
      </c>
    </row>
    <row r="244" spans="3:14" ht="15">
      <c r="C244" s="15" t="s">
        <v>93</v>
      </c>
      <c r="D244" s="15"/>
      <c r="E244" s="15">
        <v>50</v>
      </c>
      <c r="F244" s="16">
        <v>7</v>
      </c>
      <c r="G244" s="16">
        <f t="shared" si="11"/>
        <v>350</v>
      </c>
      <c r="H244" s="16">
        <f t="shared" si="12"/>
        <v>8400</v>
      </c>
      <c r="I244" s="17">
        <v>2</v>
      </c>
      <c r="J244" s="16">
        <v>12</v>
      </c>
      <c r="K244" s="18">
        <f t="shared" si="9"/>
        <v>24</v>
      </c>
      <c r="L244" s="16">
        <f t="shared" si="10"/>
        <v>576</v>
      </c>
      <c r="M244" s="19">
        <f t="shared" si="7"/>
        <v>52</v>
      </c>
      <c r="N244" s="16">
        <f t="shared" si="8"/>
        <v>8976</v>
      </c>
    </row>
    <row r="245" spans="3:14" ht="15">
      <c r="C245" s="20" t="s">
        <v>94</v>
      </c>
      <c r="D245" s="20"/>
      <c r="E245" s="20">
        <v>50</v>
      </c>
      <c r="F245" s="21">
        <v>7</v>
      </c>
      <c r="G245" s="21">
        <f t="shared" si="11"/>
        <v>350</v>
      </c>
      <c r="H245" s="21">
        <f t="shared" si="12"/>
        <v>8400</v>
      </c>
      <c r="I245" s="22">
        <v>2</v>
      </c>
      <c r="J245" s="21">
        <v>12</v>
      </c>
      <c r="K245" s="23">
        <f t="shared" si="9"/>
        <v>24</v>
      </c>
      <c r="L245" s="21">
        <f t="shared" si="10"/>
        <v>576</v>
      </c>
      <c r="M245" s="24">
        <f t="shared" si="7"/>
        <v>52</v>
      </c>
      <c r="N245" s="21">
        <f t="shared" si="8"/>
        <v>8976</v>
      </c>
    </row>
    <row r="246" spans="3:14" ht="15">
      <c r="C246" s="15" t="s">
        <v>95</v>
      </c>
      <c r="D246" s="15"/>
      <c r="E246" s="15">
        <v>50</v>
      </c>
      <c r="F246" s="16">
        <v>7</v>
      </c>
      <c r="G246" s="16">
        <f t="shared" si="11"/>
        <v>350</v>
      </c>
      <c r="H246" s="16">
        <f t="shared" si="12"/>
        <v>8400</v>
      </c>
      <c r="I246" s="17">
        <v>2</v>
      </c>
      <c r="J246" s="16">
        <v>12</v>
      </c>
      <c r="K246" s="18">
        <f t="shared" si="9"/>
        <v>24</v>
      </c>
      <c r="L246" s="16">
        <f t="shared" si="10"/>
        <v>576</v>
      </c>
      <c r="M246" s="19">
        <f t="shared" si="7"/>
        <v>52</v>
      </c>
      <c r="N246" s="16">
        <f t="shared" si="8"/>
        <v>8976</v>
      </c>
    </row>
    <row r="247" spans="3:14" ht="15">
      <c r="C247" s="20" t="s">
        <v>96</v>
      </c>
      <c r="D247" s="20"/>
      <c r="E247" s="20">
        <v>50</v>
      </c>
      <c r="F247" s="21">
        <v>8</v>
      </c>
      <c r="G247" s="21">
        <f t="shared" si="11"/>
        <v>400</v>
      </c>
      <c r="H247" s="21">
        <f t="shared" si="12"/>
        <v>9600</v>
      </c>
      <c r="I247" s="22">
        <v>2</v>
      </c>
      <c r="J247" s="21">
        <v>15</v>
      </c>
      <c r="K247" s="23">
        <f t="shared" si="9"/>
        <v>30</v>
      </c>
      <c r="L247" s="21">
        <f t="shared" si="10"/>
        <v>720</v>
      </c>
      <c r="M247" s="24">
        <f t="shared" si="7"/>
        <v>52</v>
      </c>
      <c r="N247" s="21">
        <f t="shared" si="8"/>
        <v>10320</v>
      </c>
    </row>
    <row r="248" spans="3:14" ht="15">
      <c r="C248" s="15" t="s">
        <v>97</v>
      </c>
      <c r="D248" s="15"/>
      <c r="E248" s="15">
        <v>50</v>
      </c>
      <c r="F248" s="16">
        <v>8</v>
      </c>
      <c r="G248" s="16">
        <f t="shared" si="11"/>
        <v>400</v>
      </c>
      <c r="H248" s="16">
        <f t="shared" si="12"/>
        <v>9600</v>
      </c>
      <c r="I248" s="17">
        <v>2</v>
      </c>
      <c r="J248" s="16">
        <v>15</v>
      </c>
      <c r="K248" s="18">
        <f t="shared" si="9"/>
        <v>30</v>
      </c>
      <c r="L248" s="16">
        <f t="shared" si="10"/>
        <v>720</v>
      </c>
      <c r="M248" s="19">
        <f t="shared" si="7"/>
        <v>52</v>
      </c>
      <c r="N248" s="16">
        <f t="shared" si="8"/>
        <v>10320</v>
      </c>
    </row>
    <row r="249" spans="3:14" ht="15">
      <c r="C249" s="20" t="s">
        <v>98</v>
      </c>
      <c r="D249" s="20"/>
      <c r="E249" s="20">
        <v>50</v>
      </c>
      <c r="F249" s="21">
        <v>7</v>
      </c>
      <c r="G249" s="21">
        <f t="shared" si="11"/>
        <v>350</v>
      </c>
      <c r="H249" s="21">
        <f t="shared" si="12"/>
        <v>8400</v>
      </c>
      <c r="I249" s="22">
        <v>2</v>
      </c>
      <c r="J249" s="21">
        <v>12</v>
      </c>
      <c r="K249" s="23">
        <f t="shared" si="9"/>
        <v>24</v>
      </c>
      <c r="L249" s="21">
        <f t="shared" si="10"/>
        <v>576</v>
      </c>
      <c r="M249" s="24">
        <f t="shared" si="7"/>
        <v>52</v>
      </c>
      <c r="N249" s="21">
        <f t="shared" si="8"/>
        <v>8976</v>
      </c>
    </row>
    <row r="250" spans="3:14" ht="15">
      <c r="C250" s="15" t="s">
        <v>99</v>
      </c>
      <c r="D250" s="15"/>
      <c r="E250" s="15">
        <v>100</v>
      </c>
      <c r="F250" s="16">
        <v>7</v>
      </c>
      <c r="G250" s="16">
        <f t="shared" si="11"/>
        <v>700</v>
      </c>
      <c r="H250" s="16">
        <f t="shared" si="12"/>
        <v>16800</v>
      </c>
      <c r="I250" s="17">
        <v>2</v>
      </c>
      <c r="J250" s="16">
        <v>12</v>
      </c>
      <c r="K250" s="18">
        <f t="shared" si="9"/>
        <v>24</v>
      </c>
      <c r="L250" s="16">
        <f t="shared" si="10"/>
        <v>576</v>
      </c>
      <c r="M250" s="19">
        <f t="shared" si="7"/>
        <v>102</v>
      </c>
      <c r="N250" s="16">
        <f t="shared" si="8"/>
        <v>17376</v>
      </c>
    </row>
    <row r="251" spans="3:14" ht="15">
      <c r="C251" s="20" t="s">
        <v>100</v>
      </c>
      <c r="D251" s="20"/>
      <c r="E251" s="20">
        <v>100</v>
      </c>
      <c r="F251" s="21">
        <v>7</v>
      </c>
      <c r="G251" s="21">
        <f t="shared" si="11"/>
        <v>700</v>
      </c>
      <c r="H251" s="21">
        <f t="shared" si="12"/>
        <v>16800</v>
      </c>
      <c r="I251" s="22">
        <v>2</v>
      </c>
      <c r="J251" s="21">
        <v>12</v>
      </c>
      <c r="K251" s="23">
        <f t="shared" si="9"/>
        <v>24</v>
      </c>
      <c r="L251" s="21">
        <f t="shared" si="10"/>
        <v>576</v>
      </c>
      <c r="M251" s="24">
        <f t="shared" si="7"/>
        <v>102</v>
      </c>
      <c r="N251" s="21">
        <f t="shared" si="8"/>
        <v>17376</v>
      </c>
    </row>
    <row r="252" spans="3:14" ht="15">
      <c r="C252" s="15" t="s">
        <v>101</v>
      </c>
      <c r="D252" s="15"/>
      <c r="E252" s="15">
        <v>100</v>
      </c>
      <c r="F252" s="16">
        <v>7</v>
      </c>
      <c r="G252" s="16">
        <f t="shared" si="11"/>
        <v>700</v>
      </c>
      <c r="H252" s="16">
        <f t="shared" si="12"/>
        <v>16800</v>
      </c>
      <c r="I252" s="17">
        <v>2</v>
      </c>
      <c r="J252" s="16">
        <v>12</v>
      </c>
      <c r="K252" s="18">
        <f t="shared" si="9"/>
        <v>24</v>
      </c>
      <c r="L252" s="16">
        <f t="shared" si="10"/>
        <v>576</v>
      </c>
      <c r="M252" s="19">
        <f t="shared" si="7"/>
        <v>102</v>
      </c>
      <c r="N252" s="16">
        <f t="shared" si="8"/>
        <v>17376</v>
      </c>
    </row>
    <row r="253" spans="3:14" ht="15">
      <c r="C253" s="20" t="s">
        <v>102</v>
      </c>
      <c r="D253" s="20"/>
      <c r="E253" s="20">
        <v>100</v>
      </c>
      <c r="F253" s="21">
        <v>7</v>
      </c>
      <c r="G253" s="21">
        <f t="shared" si="11"/>
        <v>700</v>
      </c>
      <c r="H253" s="21">
        <f t="shared" si="12"/>
        <v>16800</v>
      </c>
      <c r="I253" s="22">
        <v>2</v>
      </c>
      <c r="J253" s="21">
        <v>12</v>
      </c>
      <c r="K253" s="23">
        <f t="shared" si="9"/>
        <v>24</v>
      </c>
      <c r="L253" s="21">
        <f t="shared" si="10"/>
        <v>576</v>
      </c>
      <c r="M253" s="24">
        <f t="shared" si="7"/>
        <v>102</v>
      </c>
      <c r="N253" s="21">
        <f t="shared" si="8"/>
        <v>17376</v>
      </c>
    </row>
    <row r="254" spans="3:14" ht="15">
      <c r="C254" s="20" t="s">
        <v>103</v>
      </c>
      <c r="D254" s="20"/>
      <c r="E254" s="20">
        <v>100</v>
      </c>
      <c r="F254" s="21">
        <v>7</v>
      </c>
      <c r="G254" s="21">
        <f t="shared" si="11"/>
        <v>700</v>
      </c>
      <c r="H254" s="21">
        <f t="shared" si="12"/>
        <v>16800</v>
      </c>
      <c r="I254" s="22">
        <v>2</v>
      </c>
      <c r="J254" s="21">
        <v>12</v>
      </c>
      <c r="K254" s="23">
        <f t="shared" si="9"/>
        <v>24</v>
      </c>
      <c r="L254" s="21">
        <f t="shared" si="10"/>
        <v>576</v>
      </c>
      <c r="M254" s="24">
        <f t="shared" si="7"/>
        <v>102</v>
      </c>
      <c r="N254" s="21">
        <f t="shared" si="8"/>
        <v>17376</v>
      </c>
    </row>
    <row r="255" spans="3:14" ht="15">
      <c r="C255" s="15" t="s">
        <v>104</v>
      </c>
      <c r="D255" s="15"/>
      <c r="E255" s="15">
        <v>100</v>
      </c>
      <c r="F255" s="16">
        <v>7</v>
      </c>
      <c r="G255" s="16">
        <f t="shared" si="11"/>
        <v>700</v>
      </c>
      <c r="H255" s="16">
        <f t="shared" si="12"/>
        <v>16800</v>
      </c>
      <c r="I255" s="17">
        <v>2</v>
      </c>
      <c r="J255" s="16">
        <v>12</v>
      </c>
      <c r="K255" s="18">
        <f t="shared" si="9"/>
        <v>24</v>
      </c>
      <c r="L255" s="16">
        <f t="shared" si="10"/>
        <v>576</v>
      </c>
      <c r="M255" s="19">
        <f t="shared" si="7"/>
        <v>102</v>
      </c>
      <c r="N255" s="16">
        <f t="shared" si="8"/>
        <v>17376</v>
      </c>
    </row>
    <row r="256" spans="3:14" ht="15">
      <c r="C256" s="20" t="s">
        <v>105</v>
      </c>
      <c r="D256" s="20"/>
      <c r="E256" s="20"/>
      <c r="F256" s="21"/>
      <c r="G256" s="21"/>
      <c r="H256" s="21"/>
      <c r="I256" s="21"/>
      <c r="J256" s="22"/>
      <c r="K256" s="20"/>
      <c r="L256" s="20"/>
      <c r="M256" s="24"/>
      <c r="N256" s="20"/>
    </row>
    <row r="257" spans="3:14" ht="15">
      <c r="C257" s="17"/>
      <c r="D257" s="17"/>
      <c r="E257" s="15"/>
      <c r="F257" s="16"/>
      <c r="G257" s="16"/>
      <c r="H257" s="16"/>
      <c r="I257" s="16"/>
      <c r="J257" s="17"/>
      <c r="K257" s="15"/>
      <c r="L257" s="15"/>
      <c r="M257" s="19"/>
      <c r="N257" s="15"/>
    </row>
    <row r="258" spans="3:14" ht="15">
      <c r="C258" s="25" t="s">
        <v>106</v>
      </c>
      <c r="D258" s="25"/>
      <c r="E258" s="26">
        <f>SUM(E240:E255)</f>
        <v>1750</v>
      </c>
      <c r="F258" s="27">
        <f>SUM(F240:F255)</f>
        <v>115</v>
      </c>
      <c r="G258" s="27">
        <f>SUM(G240:G255)</f>
        <v>12550</v>
      </c>
      <c r="H258" s="27">
        <f>SUM(H240:H255)</f>
        <v>301200</v>
      </c>
      <c r="I258" s="27">
        <f aca="true" t="shared" si="13" ref="I258:N258">SUM(I240:I255)</f>
        <v>32</v>
      </c>
      <c r="J258" s="27">
        <f t="shared" si="13"/>
        <v>198</v>
      </c>
      <c r="K258" s="27">
        <f t="shared" si="13"/>
        <v>396</v>
      </c>
      <c r="L258" s="27">
        <f t="shared" si="13"/>
        <v>9504</v>
      </c>
      <c r="M258" s="28">
        <f t="shared" si="13"/>
        <v>1782</v>
      </c>
      <c r="N258" s="27">
        <f t="shared" si="13"/>
        <v>310704</v>
      </c>
    </row>
    <row r="259" spans="13:14" ht="15">
      <c r="M259" s="32" t="s">
        <v>111</v>
      </c>
      <c r="N259" s="27">
        <f>+N258*12</f>
        <v>3728448</v>
      </c>
    </row>
  </sheetData>
  <sheetProtection/>
  <printOptions/>
  <pageMargins left="0.09" right="0.25" top="0.25" bottom="0.33" header="0.2" footer="0.3"/>
  <pageSetup horizontalDpi="600" verticalDpi="600" orientation="portrait" scale="35" r:id="rId1"/>
  <rowBreaks count="1" manualBreakCount="1">
    <brk id="141" max="255" man="1"/>
  </rowBreaks>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M876"/>
  <sheetViews>
    <sheetView view="pageBreakPreview" zoomScale="60" zoomScalePageLayoutView="0" workbookViewId="0" topLeftCell="A551">
      <selection activeCell="I373" sqref="I373"/>
    </sheetView>
  </sheetViews>
  <sheetFormatPr defaultColWidth="9.140625" defaultRowHeight="15"/>
  <cols>
    <col min="1" max="1" width="60.28125" style="0" customWidth="1"/>
    <col min="2" max="2" width="35.8515625" style="0" customWidth="1"/>
    <col min="3" max="3" width="22.140625" style="0" customWidth="1"/>
    <col min="4" max="4" width="28.421875" style="0" customWidth="1"/>
    <col min="5" max="5" width="22.140625" style="0" customWidth="1"/>
    <col min="6" max="6" width="33.140625" style="0" customWidth="1"/>
    <col min="7" max="7" width="20.8515625" style="0" customWidth="1"/>
    <col min="8" max="8" width="20.57421875" style="0" customWidth="1"/>
    <col min="9" max="9" width="21.00390625" style="0" customWidth="1"/>
    <col min="10" max="10" width="16.140625" style="0" customWidth="1"/>
    <col min="11" max="11" width="13.8515625" style="0" customWidth="1"/>
    <col min="12" max="12" width="16.140625" style="0" customWidth="1"/>
  </cols>
  <sheetData>
    <row r="1" ht="20.25">
      <c r="A1" s="1" t="s">
        <v>0</v>
      </c>
    </row>
    <row r="2" ht="20.25">
      <c r="A2" s="1" t="s">
        <v>3</v>
      </c>
    </row>
    <row r="3" ht="20.25">
      <c r="A3" s="1" t="s">
        <v>1</v>
      </c>
    </row>
    <row r="4" ht="20.25">
      <c r="A4" s="1" t="s">
        <v>565</v>
      </c>
    </row>
    <row r="5" ht="20.25">
      <c r="A5" s="1" t="s">
        <v>566</v>
      </c>
    </row>
    <row r="8" ht="20.25">
      <c r="A8" s="170" t="s">
        <v>516</v>
      </c>
    </row>
    <row r="12" ht="15">
      <c r="B12" s="54" t="s">
        <v>213</v>
      </c>
    </row>
    <row r="13" spans="1:2" ht="15">
      <c r="A13" s="55" t="s">
        <v>214</v>
      </c>
      <c r="B13" s="56"/>
    </row>
    <row r="14" spans="1:10" ht="15.75" thickBot="1">
      <c r="A14" s="55" t="s">
        <v>215</v>
      </c>
      <c r="B14" t="s">
        <v>216</v>
      </c>
      <c r="C14" t="s">
        <v>217</v>
      </c>
      <c r="D14" s="2" t="s">
        <v>218</v>
      </c>
      <c r="F14" t="s">
        <v>216</v>
      </c>
      <c r="G14" t="s">
        <v>217</v>
      </c>
      <c r="H14" s="2" t="s">
        <v>218</v>
      </c>
      <c r="J14" s="2"/>
    </row>
    <row r="15" spans="1:11" ht="19.5" customHeight="1" thickBot="1">
      <c r="A15" s="57" t="s">
        <v>219</v>
      </c>
      <c r="B15" s="58" t="s">
        <v>220</v>
      </c>
      <c r="C15" s="59" t="s">
        <v>221</v>
      </c>
      <c r="D15" s="60"/>
      <c r="E15" s="57" t="s">
        <v>219</v>
      </c>
      <c r="F15" s="58" t="s">
        <v>220</v>
      </c>
      <c r="G15" s="59" t="s">
        <v>221</v>
      </c>
      <c r="H15" s="60"/>
      <c r="K15" s="2"/>
    </row>
    <row r="16" spans="1:11" ht="19.5" customHeight="1" thickBot="1">
      <c r="A16" s="57" t="s">
        <v>222</v>
      </c>
      <c r="B16" s="61" t="s">
        <v>223</v>
      </c>
      <c r="C16" s="62" t="s">
        <v>224</v>
      </c>
      <c r="D16" s="60"/>
      <c r="E16" s="57" t="s">
        <v>222</v>
      </c>
      <c r="F16" s="61" t="s">
        <v>223</v>
      </c>
      <c r="G16" s="62" t="s">
        <v>224</v>
      </c>
      <c r="H16" s="60"/>
      <c r="K16" s="2"/>
    </row>
    <row r="17" spans="1:11" ht="19.5" customHeight="1" thickBot="1">
      <c r="A17" s="57" t="s">
        <v>225</v>
      </c>
      <c r="B17" s="61" t="s">
        <v>226</v>
      </c>
      <c r="C17" s="62" t="s">
        <v>227</v>
      </c>
      <c r="D17" s="60"/>
      <c r="E17" s="57" t="s">
        <v>225</v>
      </c>
      <c r="F17" s="61" t="s">
        <v>226</v>
      </c>
      <c r="G17" s="62" t="s">
        <v>227</v>
      </c>
      <c r="H17" s="60"/>
      <c r="K17" s="2"/>
    </row>
    <row r="18" spans="1:11" ht="19.5" customHeight="1">
      <c r="A18" s="63" t="s">
        <v>228</v>
      </c>
      <c r="B18" s="60"/>
      <c r="C18" s="60"/>
      <c r="D18" s="60" t="s">
        <v>80</v>
      </c>
      <c r="E18" s="63" t="s">
        <v>228</v>
      </c>
      <c r="F18" s="60"/>
      <c r="G18" s="60"/>
      <c r="H18" s="60" t="s">
        <v>80</v>
      </c>
      <c r="J18" s="2"/>
      <c r="K18" s="56"/>
    </row>
    <row r="19" spans="2:6" ht="19.5" customHeight="1">
      <c r="B19" s="54" t="s">
        <v>229</v>
      </c>
      <c r="F19" s="54" t="s">
        <v>230</v>
      </c>
    </row>
    <row r="20" ht="19.5" customHeight="1">
      <c r="B20" s="2"/>
    </row>
    <row r="21" spans="2:12" ht="19.5" customHeight="1">
      <c r="B21" s="2"/>
      <c r="L21" s="56"/>
    </row>
    <row r="22" spans="2:12" ht="15">
      <c r="B22" s="54" t="str">
        <f>+B19</f>
        <v>Floor 1 and  2</v>
      </c>
      <c r="D22" s="32" t="s">
        <v>231</v>
      </c>
      <c r="E22" s="32" t="s">
        <v>232</v>
      </c>
      <c r="F22" s="54" t="str">
        <f>+F19</f>
        <v>Floors 3 and 4</v>
      </c>
      <c r="H22" s="32" t="s">
        <v>231</v>
      </c>
      <c r="I22" s="32" t="s">
        <v>232</v>
      </c>
      <c r="L22" s="32"/>
    </row>
    <row r="23" spans="2:12" ht="15">
      <c r="B23" t="s">
        <v>233</v>
      </c>
      <c r="C23">
        <v>1</v>
      </c>
      <c r="D23">
        <v>2</v>
      </c>
      <c r="E23">
        <f>+D23*C23</f>
        <v>2</v>
      </c>
      <c r="F23" t="s">
        <v>233</v>
      </c>
      <c r="G23">
        <v>0</v>
      </c>
      <c r="H23">
        <v>2</v>
      </c>
      <c r="I23">
        <f>+H23*G23</f>
        <v>0</v>
      </c>
      <c r="J23" s="2">
        <f>+I23+E23</f>
        <v>2</v>
      </c>
      <c r="L23" s="64"/>
    </row>
    <row r="24" spans="2:12" ht="15">
      <c r="B24" t="s">
        <v>234</v>
      </c>
      <c r="C24">
        <v>5</v>
      </c>
      <c r="D24">
        <v>2</v>
      </c>
      <c r="E24">
        <f>+D24*C24</f>
        <v>10</v>
      </c>
      <c r="F24" t="s">
        <v>234</v>
      </c>
      <c r="G24">
        <v>6</v>
      </c>
      <c r="H24">
        <v>2</v>
      </c>
      <c r="I24">
        <f>+H24*G24</f>
        <v>12</v>
      </c>
      <c r="J24" s="2">
        <f>+I24+E24</f>
        <v>22</v>
      </c>
      <c r="L24" s="64"/>
    </row>
    <row r="25" spans="2:12" ht="15">
      <c r="B25" t="s">
        <v>235</v>
      </c>
      <c r="C25">
        <v>6</v>
      </c>
      <c r="D25">
        <v>2</v>
      </c>
      <c r="E25">
        <f>+D25*C25</f>
        <v>12</v>
      </c>
      <c r="F25" t="s">
        <v>235</v>
      </c>
      <c r="G25">
        <v>6</v>
      </c>
      <c r="H25">
        <v>2</v>
      </c>
      <c r="I25">
        <f>+H25*G25</f>
        <v>12</v>
      </c>
      <c r="J25" s="2">
        <f>+I25+E25</f>
        <v>24</v>
      </c>
      <c r="L25" s="64"/>
    </row>
    <row r="26" ht="15">
      <c r="L26" s="64"/>
    </row>
    <row r="27" spans="2:12" ht="15">
      <c r="B27" s="2" t="s">
        <v>212</v>
      </c>
      <c r="C27" s="2">
        <f>SUM(C23:C25)</f>
        <v>12</v>
      </c>
      <c r="D27" s="2"/>
      <c r="E27" s="2">
        <f>SUM(E23:E25)</f>
        <v>24</v>
      </c>
      <c r="F27" s="2" t="s">
        <v>212</v>
      </c>
      <c r="G27" s="2">
        <f>SUM(G23:G25)</f>
        <v>12</v>
      </c>
      <c r="H27" s="2"/>
      <c r="I27" s="2">
        <f>SUM(I23:I25)</f>
        <v>24</v>
      </c>
      <c r="J27" s="2">
        <f>SUM(J23:J25)</f>
        <v>48</v>
      </c>
      <c r="L27" s="56"/>
    </row>
    <row r="29" spans="2:10" ht="15">
      <c r="B29" s="54" t="s">
        <v>236</v>
      </c>
      <c r="C29" s="54"/>
      <c r="D29" s="54"/>
      <c r="E29" s="54">
        <f>+E27</f>
        <v>24</v>
      </c>
      <c r="F29" s="54"/>
      <c r="G29" s="54"/>
      <c r="H29" s="54"/>
      <c r="I29" s="54">
        <f>+I27</f>
        <v>24</v>
      </c>
      <c r="J29" s="54">
        <f>+I29+E29</f>
        <v>48</v>
      </c>
    </row>
    <row r="32" spans="2:3" ht="15">
      <c r="B32" s="2" t="s">
        <v>237</v>
      </c>
      <c r="C32" s="2"/>
    </row>
    <row r="33" spans="2:3" ht="15">
      <c r="B33" s="2" t="s">
        <v>238</v>
      </c>
      <c r="C33" s="2"/>
    </row>
    <row r="34" spans="2:3" ht="15">
      <c r="B34" s="2" t="s">
        <v>239</v>
      </c>
      <c r="C34" s="2"/>
    </row>
    <row r="35" spans="2:3" ht="15">
      <c r="B35" s="2" t="s">
        <v>240</v>
      </c>
      <c r="C35" s="2"/>
    </row>
    <row r="36" spans="2:3" ht="15">
      <c r="B36" s="2" t="s">
        <v>241</v>
      </c>
      <c r="C36" s="2"/>
    </row>
    <row r="39" spans="3:12" ht="15">
      <c r="C39" s="32"/>
      <c r="D39" s="32"/>
      <c r="E39" s="32" t="s">
        <v>242</v>
      </c>
      <c r="F39" s="32"/>
      <c r="G39" s="32" t="s">
        <v>243</v>
      </c>
      <c r="H39" s="32" t="s">
        <v>244</v>
      </c>
      <c r="I39" s="32" t="s">
        <v>245</v>
      </c>
      <c r="J39" s="32" t="s">
        <v>246</v>
      </c>
      <c r="K39" s="32"/>
      <c r="L39" s="32"/>
    </row>
    <row r="40" spans="2:12" ht="15">
      <c r="B40" s="54" t="s">
        <v>213</v>
      </c>
      <c r="C40" s="32" t="s">
        <v>247</v>
      </c>
      <c r="D40" s="32" t="s">
        <v>248</v>
      </c>
      <c r="E40" s="32" t="s">
        <v>249</v>
      </c>
      <c r="F40" s="32" t="s">
        <v>250</v>
      </c>
      <c r="G40" s="32" t="s">
        <v>251</v>
      </c>
      <c r="H40" s="32" t="s">
        <v>251</v>
      </c>
      <c r="I40" s="32" t="s">
        <v>252</v>
      </c>
      <c r="J40" s="32" t="s">
        <v>251</v>
      </c>
      <c r="K40" s="65"/>
      <c r="L40" s="32"/>
    </row>
    <row r="41" ht="15">
      <c r="K41" s="66"/>
    </row>
    <row r="42" spans="2:11" ht="15">
      <c r="B42" t="s">
        <v>253</v>
      </c>
      <c r="C42">
        <f>30+25+6</f>
        <v>61</v>
      </c>
      <c r="D42">
        <v>126</v>
      </c>
      <c r="E42" s="30">
        <f>+D42*C42</f>
        <v>7686</v>
      </c>
      <c r="F42">
        <v>1</v>
      </c>
      <c r="G42" s="30">
        <f>+E42*F42</f>
        <v>7686</v>
      </c>
      <c r="H42" s="67">
        <f>+G42/43560</f>
        <v>0.17644628099173554</v>
      </c>
      <c r="K42" s="66"/>
    </row>
    <row r="43" spans="5:11" ht="15">
      <c r="E43" s="30"/>
      <c r="G43" s="30"/>
      <c r="K43" s="66"/>
    </row>
    <row r="44" ht="15">
      <c r="K44" s="66"/>
    </row>
    <row r="45" ht="15">
      <c r="K45" s="66"/>
    </row>
    <row r="46" ht="15">
      <c r="K46" s="66"/>
    </row>
    <row r="47" spans="2:11" ht="15">
      <c r="B47" s="68" t="s">
        <v>254</v>
      </c>
      <c r="C47" s="68"/>
      <c r="D47" s="68"/>
      <c r="E47" s="68"/>
      <c r="F47" s="68">
        <f>SUM(F42:F43)</f>
        <v>1</v>
      </c>
      <c r="G47" s="69">
        <f>SUM(G42:G43)</f>
        <v>7686</v>
      </c>
      <c r="H47" s="70">
        <f>SUM(H42:H43)</f>
        <v>0.17644628099173554</v>
      </c>
      <c r="I47" s="71">
        <f>0.3*H47</f>
        <v>0.05293388429752066</v>
      </c>
      <c r="J47" s="72">
        <f>+H47+I47</f>
        <v>0.2293801652892562</v>
      </c>
      <c r="K47" s="73"/>
    </row>
    <row r="49" spans="2:6" ht="15">
      <c r="B49" t="s">
        <v>255</v>
      </c>
      <c r="F49">
        <v>4</v>
      </c>
    </row>
    <row r="51" spans="2:6" ht="15">
      <c r="B51" t="s">
        <v>256</v>
      </c>
      <c r="F51">
        <f>+J27</f>
        <v>48</v>
      </c>
    </row>
    <row r="53" spans="2:10" ht="15">
      <c r="B53" t="s">
        <v>257</v>
      </c>
      <c r="F53" s="30">
        <f>+F51*F57</f>
        <v>10800</v>
      </c>
      <c r="H53" t="s">
        <v>258</v>
      </c>
      <c r="J53" s="74">
        <f>+J57*F51</f>
        <v>10800</v>
      </c>
    </row>
    <row r="55" spans="2:6" ht="15">
      <c r="B55" t="s">
        <v>488</v>
      </c>
      <c r="F55" s="30">
        <f>+F53*7</f>
        <v>75600</v>
      </c>
    </row>
    <row r="57" spans="2:10" ht="15">
      <c r="B57" t="s">
        <v>259</v>
      </c>
      <c r="F57">
        <v>225</v>
      </c>
      <c r="H57" t="s">
        <v>260</v>
      </c>
      <c r="J57">
        <f>+F57</f>
        <v>225</v>
      </c>
    </row>
    <row r="59" spans="8:13" ht="15">
      <c r="H59" s="2" t="s">
        <v>261</v>
      </c>
      <c r="J59" s="2">
        <f>+J47*J57</f>
        <v>51.610537190082646</v>
      </c>
      <c r="L59" s="2"/>
      <c r="M59" s="2"/>
    </row>
    <row r="62" spans="3:6" ht="15">
      <c r="C62" s="32" t="s">
        <v>262</v>
      </c>
      <c r="D62" s="32" t="s">
        <v>263</v>
      </c>
      <c r="E62" s="32" t="s">
        <v>262</v>
      </c>
      <c r="F62" s="32" t="s">
        <v>264</v>
      </c>
    </row>
    <row r="63" spans="3:6" ht="15">
      <c r="C63" s="32" t="s">
        <v>265</v>
      </c>
      <c r="D63" s="32" t="s">
        <v>266</v>
      </c>
      <c r="E63" s="32" t="s">
        <v>267</v>
      </c>
      <c r="F63" s="32" t="s">
        <v>266</v>
      </c>
    </row>
    <row r="64" spans="1:8" ht="15">
      <c r="A64" t="s">
        <v>268</v>
      </c>
      <c r="B64" s="75" t="s">
        <v>269</v>
      </c>
      <c r="C64" s="10">
        <f>61/4*2</f>
        <v>30.5</v>
      </c>
      <c r="D64" s="76">
        <f>+(C64*4)*1.1*2</f>
        <v>268.40000000000003</v>
      </c>
      <c r="E64" s="10" t="s">
        <v>80</v>
      </c>
      <c r="F64" s="10"/>
      <c r="H64" s="77">
        <v>6000</v>
      </c>
    </row>
    <row r="65" spans="1:8" ht="15">
      <c r="A65" t="s">
        <v>268</v>
      </c>
      <c r="B65" s="78" t="s">
        <v>270</v>
      </c>
      <c r="C65" s="79"/>
      <c r="D65" s="80"/>
      <c r="E65" s="79">
        <f>126/4*2</f>
        <v>63</v>
      </c>
      <c r="F65" s="79">
        <f>+E65*4*1.1*2</f>
        <v>554.4000000000001</v>
      </c>
      <c r="H65" s="77"/>
    </row>
    <row r="66" spans="1:8" ht="15">
      <c r="A66" s="81" t="s">
        <v>271</v>
      </c>
      <c r="B66" s="82"/>
      <c r="C66" s="83"/>
      <c r="D66" s="84">
        <f>SUM(D64:D65)</f>
        <v>268.40000000000003</v>
      </c>
      <c r="E66" s="83"/>
      <c r="F66" s="84">
        <f>SUM(F64:F65)</f>
        <v>554.4000000000001</v>
      </c>
      <c r="H66" s="77"/>
    </row>
    <row r="67" spans="1:8" ht="15">
      <c r="A67" t="s">
        <v>272</v>
      </c>
      <c r="B67" t="s">
        <v>273</v>
      </c>
      <c r="C67" s="10">
        <f>25*6/4</f>
        <v>37.5</v>
      </c>
      <c r="D67" s="76">
        <f>+(C67*4)*1.1</f>
        <v>165</v>
      </c>
      <c r="E67" s="10"/>
      <c r="F67" s="10"/>
      <c r="H67" s="77"/>
    </row>
    <row r="68" spans="1:8" ht="15">
      <c r="A68" t="s">
        <v>272</v>
      </c>
      <c r="B68" t="s">
        <v>274</v>
      </c>
      <c r="C68" s="10"/>
      <c r="D68" s="76"/>
      <c r="E68" s="10">
        <f>20*6/4</f>
        <v>30</v>
      </c>
      <c r="F68" s="79">
        <f>+E68*4*1.1</f>
        <v>132</v>
      </c>
      <c r="H68" s="77"/>
    </row>
    <row r="69" spans="1:8" ht="15">
      <c r="A69" s="81" t="s">
        <v>275</v>
      </c>
      <c r="B69" s="82"/>
      <c r="C69" s="83"/>
      <c r="D69" s="84">
        <f>SUM(D67:D68)</f>
        <v>165</v>
      </c>
      <c r="E69" s="83"/>
      <c r="F69" s="84">
        <f>SUM(F67:F68)</f>
        <v>132</v>
      </c>
      <c r="H69" s="77"/>
    </row>
    <row r="70" spans="1:8" ht="15">
      <c r="A70" t="s">
        <v>276</v>
      </c>
      <c r="B70" t="s">
        <v>277</v>
      </c>
      <c r="C70" s="10">
        <f>30*6/4</f>
        <v>45</v>
      </c>
      <c r="D70" s="76">
        <f>+(C70*4)*1.1</f>
        <v>198.00000000000003</v>
      </c>
      <c r="E70" s="10"/>
      <c r="F70" s="10"/>
      <c r="H70" s="77"/>
    </row>
    <row r="71" spans="1:8" ht="15">
      <c r="A71" t="s">
        <v>276</v>
      </c>
      <c r="B71" t="s">
        <v>274</v>
      </c>
      <c r="C71" s="10"/>
      <c r="D71" s="76"/>
      <c r="E71" s="10">
        <f>20*6/4</f>
        <v>30</v>
      </c>
      <c r="F71" s="79">
        <f>+E71*4*1.1</f>
        <v>132</v>
      </c>
      <c r="H71" s="77"/>
    </row>
    <row r="72" spans="1:8" ht="15">
      <c r="A72" s="81" t="s">
        <v>278</v>
      </c>
      <c r="B72" s="82"/>
      <c r="C72" s="83"/>
      <c r="D72" s="84">
        <f>SUM(D70:D71)</f>
        <v>198.00000000000003</v>
      </c>
      <c r="E72" s="83"/>
      <c r="F72" s="84">
        <f>SUM(F70:F71)</f>
        <v>132</v>
      </c>
      <c r="H72" s="77"/>
    </row>
    <row r="73" spans="1:8" ht="15">
      <c r="A73" s="85"/>
      <c r="B73" s="86"/>
      <c r="C73" s="87"/>
      <c r="D73" s="88"/>
      <c r="E73" s="87"/>
      <c r="F73" s="88"/>
      <c r="H73" s="77"/>
    </row>
    <row r="74" spans="1:8" ht="15.75" thickBot="1">
      <c r="A74" s="89" t="s">
        <v>279</v>
      </c>
      <c r="B74" s="90"/>
      <c r="C74" s="91"/>
      <c r="D74" s="92">
        <f>+D66+D69+D72</f>
        <v>631.4000000000001</v>
      </c>
      <c r="E74" s="91"/>
      <c r="F74" s="92">
        <f>+F66+F69+F72</f>
        <v>818.4000000000001</v>
      </c>
      <c r="G74" s="91">
        <f>SUM(D74:F74)</f>
        <v>1449.8000000000002</v>
      </c>
      <c r="H74" s="77">
        <v>928.4000000000001</v>
      </c>
    </row>
    <row r="75" spans="1:8" ht="15.75" thickTop="1">
      <c r="A75" s="93"/>
      <c r="B75" s="94"/>
      <c r="C75" s="95"/>
      <c r="D75" s="96"/>
      <c r="E75" s="95"/>
      <c r="F75" s="96"/>
      <c r="G75" s="95"/>
      <c r="H75" s="77"/>
    </row>
    <row r="76" spans="1:8" ht="15">
      <c r="A76" s="97"/>
      <c r="B76" s="98"/>
      <c r="C76" s="99" t="s">
        <v>280</v>
      </c>
      <c r="D76" t="s">
        <v>80</v>
      </c>
      <c r="E76" s="100"/>
      <c r="F76" s="101" t="s">
        <v>281</v>
      </c>
      <c r="H76" s="77"/>
    </row>
    <row r="77" spans="1:8" ht="15">
      <c r="A77" s="97" t="s">
        <v>282</v>
      </c>
      <c r="B77" s="100">
        <f>10+10+7+5+4+1+5+2</f>
        <v>44</v>
      </c>
      <c r="C77" s="101">
        <f>+J23</f>
        <v>2</v>
      </c>
      <c r="D77" s="101">
        <f>+B77*C77</f>
        <v>88</v>
      </c>
      <c r="E77" s="100"/>
      <c r="F77" s="101">
        <f>+D77*0.1</f>
        <v>8.8</v>
      </c>
      <c r="G77" s="10">
        <f>+D77+F77</f>
        <v>96.8</v>
      </c>
      <c r="H77" s="77">
        <f>+G77*G85</f>
        <v>5324</v>
      </c>
    </row>
    <row r="78" spans="1:8" ht="15">
      <c r="A78" s="97" t="s">
        <v>283</v>
      </c>
      <c r="B78" s="102">
        <f>10+7+7+4+4+7+6+1</f>
        <v>46</v>
      </c>
      <c r="C78" s="101">
        <f>+J24</f>
        <v>22</v>
      </c>
      <c r="D78" s="101">
        <f>+B78*C78</f>
        <v>1012</v>
      </c>
      <c r="E78" s="100"/>
      <c r="F78" s="101">
        <f>+D78*0.1</f>
        <v>101.2</v>
      </c>
      <c r="G78" s="10">
        <f>+D78+F78</f>
        <v>1113.2</v>
      </c>
      <c r="H78" s="77">
        <f>+G78*G85</f>
        <v>61226</v>
      </c>
    </row>
    <row r="79" spans="1:8" ht="15">
      <c r="A79" s="97" t="s">
        <v>284</v>
      </c>
      <c r="B79" s="102">
        <f>10+6+8+4+8+7+6+3+6+9+3</f>
        <v>70</v>
      </c>
      <c r="C79" s="101">
        <f>+J25</f>
        <v>24</v>
      </c>
      <c r="D79" s="101">
        <f>+B79*C79</f>
        <v>1680</v>
      </c>
      <c r="E79" s="100"/>
      <c r="F79" s="101">
        <f>+D79*0.1</f>
        <v>168</v>
      </c>
      <c r="G79" s="10">
        <f>+D79+F79</f>
        <v>1848</v>
      </c>
      <c r="H79" s="77">
        <f>+G79*G85</f>
        <v>101640</v>
      </c>
    </row>
    <row r="80" spans="1:8" ht="15">
      <c r="A80" s="97"/>
      <c r="B80" s="102"/>
      <c r="C80" s="100"/>
      <c r="D80" s="101"/>
      <c r="E80" s="100"/>
      <c r="F80" s="101"/>
      <c r="G80" s="10"/>
      <c r="H80" s="77"/>
    </row>
    <row r="81" spans="1:9" ht="15.75" thickBot="1">
      <c r="A81" s="89" t="s">
        <v>285</v>
      </c>
      <c r="B81" s="103"/>
      <c r="C81" s="92">
        <f aca="true" t="shared" si="0" ref="C81:H81">SUM(C77:C79)</f>
        <v>48</v>
      </c>
      <c r="D81" s="92">
        <f t="shared" si="0"/>
        <v>2780</v>
      </c>
      <c r="E81" s="92">
        <f t="shared" si="0"/>
        <v>0</v>
      </c>
      <c r="F81" s="92">
        <f t="shared" si="0"/>
        <v>278</v>
      </c>
      <c r="G81" s="92">
        <f t="shared" si="0"/>
        <v>3058</v>
      </c>
      <c r="H81" s="77">
        <f t="shared" si="0"/>
        <v>168190</v>
      </c>
      <c r="I81" s="101">
        <f>+G81*G85</f>
        <v>168190</v>
      </c>
    </row>
    <row r="82" spans="1:8" ht="15.75" thickTop="1">
      <c r="A82" s="93"/>
      <c r="B82" s="104"/>
      <c r="C82" s="96"/>
      <c r="D82" s="96"/>
      <c r="E82" s="96"/>
      <c r="F82" s="96"/>
      <c r="G82" s="96"/>
      <c r="H82" s="77"/>
    </row>
    <row r="83" spans="1:8" ht="15">
      <c r="A83" t="s">
        <v>286</v>
      </c>
      <c r="B83" s="11"/>
      <c r="C83" s="10"/>
      <c r="D83" s="76"/>
      <c r="E83" s="10"/>
      <c r="F83" s="10"/>
      <c r="G83" s="10">
        <f>+G74+G81</f>
        <v>4507.8</v>
      </c>
      <c r="H83" s="77"/>
    </row>
    <row r="84" spans="2:8" ht="15">
      <c r="B84" s="105"/>
      <c r="C84" s="10"/>
      <c r="D84" s="76"/>
      <c r="E84" s="10"/>
      <c r="F84" s="10"/>
      <c r="H84" s="77"/>
    </row>
    <row r="85" spans="1:8" ht="15">
      <c r="A85" t="s">
        <v>287</v>
      </c>
      <c r="B85" s="105"/>
      <c r="D85" s="76"/>
      <c r="E85" s="10"/>
      <c r="F85" s="10"/>
      <c r="G85" s="10">
        <v>55</v>
      </c>
      <c r="H85" s="77"/>
    </row>
    <row r="86" spans="2:8" ht="15">
      <c r="B86" s="105"/>
      <c r="D86" s="76"/>
      <c r="E86" s="10"/>
      <c r="F86" s="10"/>
      <c r="G86" s="10"/>
      <c r="H86" s="77"/>
    </row>
    <row r="87" spans="1:8" ht="15.75" thickBot="1">
      <c r="A87" s="106" t="s">
        <v>288</v>
      </c>
      <c r="B87" s="107"/>
      <c r="C87" s="106"/>
      <c r="D87" s="108"/>
      <c r="E87" s="109"/>
      <c r="F87" s="108"/>
      <c r="G87" s="109">
        <f>+G85*G83</f>
        <v>247929</v>
      </c>
      <c r="H87" s="77"/>
    </row>
    <row r="88" spans="1:8" ht="15">
      <c r="A88" s="93"/>
      <c r="B88" s="104"/>
      <c r="C88" s="96"/>
      <c r="D88" s="96"/>
      <c r="E88" s="96"/>
      <c r="F88" s="96"/>
      <c r="G88" s="96"/>
      <c r="H88" s="77"/>
    </row>
    <row r="89" spans="1:8" ht="15">
      <c r="A89" s="93" t="s">
        <v>289</v>
      </c>
      <c r="B89" s="104"/>
      <c r="C89" s="96"/>
      <c r="D89" s="96"/>
      <c r="E89" s="96"/>
      <c r="F89" s="96"/>
      <c r="G89" s="96"/>
      <c r="H89" s="77"/>
    </row>
    <row r="90" spans="1:9" ht="15">
      <c r="A90" s="97" t="s">
        <v>290</v>
      </c>
      <c r="B90" s="100">
        <f>10+10+7+5+4+1+5+2</f>
        <v>44</v>
      </c>
      <c r="C90" s="101">
        <f>+C77</f>
        <v>2</v>
      </c>
      <c r="D90" s="101">
        <v>6</v>
      </c>
      <c r="E90" s="100"/>
      <c r="F90" s="101">
        <f>+(B90*C90)*1.1</f>
        <v>96.80000000000001</v>
      </c>
      <c r="G90" s="10">
        <f>+F90*D90</f>
        <v>580.8000000000001</v>
      </c>
      <c r="H90" s="77"/>
      <c r="I90" s="10"/>
    </row>
    <row r="91" spans="1:8" ht="15">
      <c r="A91" s="97" t="s">
        <v>291</v>
      </c>
      <c r="B91" s="102">
        <f>10+7+7+4+4+7+6+1</f>
        <v>46</v>
      </c>
      <c r="C91" s="101">
        <f>+C78</f>
        <v>22</v>
      </c>
      <c r="D91" s="101">
        <v>6</v>
      </c>
      <c r="E91" s="100"/>
      <c r="F91" s="101">
        <f>+(B91*C91)*1.1</f>
        <v>1113.2</v>
      </c>
      <c r="G91" s="10">
        <f>+F91*D91</f>
        <v>6679.200000000001</v>
      </c>
      <c r="H91" s="77"/>
    </row>
    <row r="92" spans="1:8" ht="15">
      <c r="A92" s="97" t="s">
        <v>292</v>
      </c>
      <c r="B92" s="102">
        <f>10+6+8+4+8+7+6+3+6+9+3</f>
        <v>70</v>
      </c>
      <c r="C92" s="101">
        <f>+C79</f>
        <v>24</v>
      </c>
      <c r="D92" s="101">
        <v>6</v>
      </c>
      <c r="E92" s="100"/>
      <c r="F92" s="101">
        <f>+(B92*C92)*1.1</f>
        <v>1848.0000000000002</v>
      </c>
      <c r="G92" s="10">
        <f>+F92*D92</f>
        <v>11088.000000000002</v>
      </c>
      <c r="H92" s="77"/>
    </row>
    <row r="93" spans="1:8" ht="15">
      <c r="A93" s="97"/>
      <c r="B93" s="102"/>
      <c r="C93" s="101"/>
      <c r="D93" s="101"/>
      <c r="E93" s="100"/>
      <c r="F93" s="101"/>
      <c r="G93" s="10"/>
      <c r="H93" s="77"/>
    </row>
    <row r="94" spans="1:8" ht="15">
      <c r="A94" s="93" t="s">
        <v>293</v>
      </c>
      <c r="B94" s="102"/>
      <c r="C94" s="101"/>
      <c r="D94" s="101"/>
      <c r="E94" s="100"/>
      <c r="F94" s="101"/>
      <c r="G94" s="10"/>
      <c r="H94" s="77"/>
    </row>
    <row r="95" spans="1:8" ht="15">
      <c r="A95" t="s">
        <v>268</v>
      </c>
      <c r="B95" s="75" t="s">
        <v>269</v>
      </c>
      <c r="C95" s="101">
        <f>+C64*4*2*1.1</f>
        <v>268.40000000000003</v>
      </c>
      <c r="D95" s="101">
        <f>+D90</f>
        <v>6</v>
      </c>
      <c r="E95" s="100"/>
      <c r="F95" s="101"/>
      <c r="G95" s="10">
        <f>+C95*D95</f>
        <v>1610.4</v>
      </c>
      <c r="H95" s="77"/>
    </row>
    <row r="96" spans="1:8" ht="15">
      <c r="A96" t="s">
        <v>268</v>
      </c>
      <c r="B96" s="78" t="s">
        <v>270</v>
      </c>
      <c r="C96" s="101"/>
      <c r="D96" s="101"/>
      <c r="E96" s="100">
        <f>+E65*4*2*1.1</f>
        <v>554.4000000000001</v>
      </c>
      <c r="F96" s="101">
        <f>+D95</f>
        <v>6</v>
      </c>
      <c r="G96" s="10">
        <f>+E96*F96</f>
        <v>3326.4000000000005</v>
      </c>
      <c r="H96" s="77"/>
    </row>
    <row r="97" spans="1:8" ht="15">
      <c r="A97" t="s">
        <v>294</v>
      </c>
      <c r="B97" t="s">
        <v>273</v>
      </c>
      <c r="C97" s="101">
        <f>+C67*4*1.1</f>
        <v>165</v>
      </c>
      <c r="D97" s="101">
        <f>+D95</f>
        <v>6</v>
      </c>
      <c r="E97" s="100"/>
      <c r="F97" s="101"/>
      <c r="G97" s="10">
        <f>+C97*D97</f>
        <v>990</v>
      </c>
      <c r="H97" s="77"/>
    </row>
    <row r="98" spans="1:8" ht="15">
      <c r="A98" t="s">
        <v>294</v>
      </c>
      <c r="B98" t="s">
        <v>274</v>
      </c>
      <c r="C98" s="101"/>
      <c r="D98" s="101"/>
      <c r="E98" s="100">
        <f>+E68*4*1.1</f>
        <v>132</v>
      </c>
      <c r="F98" s="101">
        <f>+F96</f>
        <v>6</v>
      </c>
      <c r="G98" s="10">
        <f>+E98*F98</f>
        <v>792</v>
      </c>
      <c r="H98" s="77"/>
    </row>
    <row r="99" spans="1:8" ht="15">
      <c r="A99" t="s">
        <v>295</v>
      </c>
      <c r="B99" t="s">
        <v>277</v>
      </c>
      <c r="C99" s="101">
        <f>+C70*4*1.1</f>
        <v>198.00000000000003</v>
      </c>
      <c r="D99" s="101">
        <f>+D95</f>
        <v>6</v>
      </c>
      <c r="E99" s="100"/>
      <c r="F99" s="101"/>
      <c r="G99" s="10">
        <f>+C99*D99</f>
        <v>1188.0000000000002</v>
      </c>
      <c r="H99" s="77"/>
    </row>
    <row r="100" spans="1:8" ht="15">
      <c r="A100" t="s">
        <v>295</v>
      </c>
      <c r="B100" t="s">
        <v>274</v>
      </c>
      <c r="C100" s="101"/>
      <c r="D100" s="101"/>
      <c r="E100" s="100">
        <f>+E71*4*1.1</f>
        <v>132</v>
      </c>
      <c r="F100" s="101">
        <f>+F96</f>
        <v>6</v>
      </c>
      <c r="G100" s="10">
        <f>+E100*F100</f>
        <v>792</v>
      </c>
      <c r="H100" s="77"/>
    </row>
    <row r="101" spans="1:8" ht="15">
      <c r="A101" s="93"/>
      <c r="B101" s="104"/>
      <c r="C101" s="96"/>
      <c r="D101" s="96"/>
      <c r="E101" s="96"/>
      <c r="F101" s="96"/>
      <c r="G101" s="96"/>
      <c r="H101" s="77"/>
    </row>
    <row r="102" spans="1:8" ht="15.75" thickBot="1">
      <c r="A102" s="110" t="s">
        <v>296</v>
      </c>
      <c r="B102" s="111"/>
      <c r="C102" s="112">
        <f>SUM(C95:C99)</f>
        <v>631.4000000000001</v>
      </c>
      <c r="D102" s="112"/>
      <c r="E102" s="112">
        <f>SUM(E96:E100)</f>
        <v>818.4000000000001</v>
      </c>
      <c r="F102" s="112">
        <f>SUM(F89:F92)</f>
        <v>3058</v>
      </c>
      <c r="G102" s="112">
        <f>SUM(G90:G100)</f>
        <v>27046.800000000007</v>
      </c>
      <c r="H102" s="77"/>
    </row>
    <row r="103" spans="2:8" ht="15.75" thickTop="1">
      <c r="B103" s="11"/>
      <c r="C103" s="10"/>
      <c r="D103" s="76"/>
      <c r="E103" s="10"/>
      <c r="F103" s="10"/>
      <c r="G103" s="10"/>
      <c r="H103" s="77"/>
    </row>
    <row r="104" spans="1:8" ht="15">
      <c r="A104" s="2" t="s">
        <v>297</v>
      </c>
      <c r="B104" s="105"/>
      <c r="D104" s="76"/>
      <c r="E104" s="10"/>
      <c r="F104" s="10"/>
      <c r="H104" s="77"/>
    </row>
    <row r="105" spans="1:8" ht="15">
      <c r="A105" t="s">
        <v>298</v>
      </c>
      <c r="B105" s="105"/>
      <c r="C105" s="30">
        <v>0</v>
      </c>
      <c r="D105" s="114">
        <v>4</v>
      </c>
      <c r="E105" s="30"/>
      <c r="F105" s="30"/>
      <c r="G105" s="30">
        <f>+C105*D105</f>
        <v>0</v>
      </c>
      <c r="H105" s="77"/>
    </row>
    <row r="106" spans="1:8" ht="15">
      <c r="A106" t="s">
        <v>299</v>
      </c>
      <c r="B106" s="105">
        <v>48</v>
      </c>
      <c r="C106" s="30">
        <v>2</v>
      </c>
      <c r="D106" s="76">
        <v>150</v>
      </c>
      <c r="E106" s="30"/>
      <c r="F106" s="30"/>
      <c r="G106" s="10">
        <f>+C106*D106*B106</f>
        <v>14400</v>
      </c>
      <c r="H106" s="77"/>
    </row>
    <row r="107" spans="2:8" ht="15">
      <c r="B107" s="105"/>
      <c r="D107" s="76"/>
      <c r="E107" s="10"/>
      <c r="F107" s="10"/>
      <c r="G107" s="10"/>
      <c r="H107" s="77"/>
    </row>
    <row r="108" spans="1:8" ht="15.75" thickBot="1">
      <c r="A108" s="106" t="s">
        <v>300</v>
      </c>
      <c r="B108" s="107"/>
      <c r="C108" s="106"/>
      <c r="D108" s="108"/>
      <c r="E108" s="109"/>
      <c r="F108" s="109"/>
      <c r="G108" s="109">
        <f>SUM(G105:G106)</f>
        <v>14400</v>
      </c>
      <c r="H108" s="77">
        <f>+G108/48</f>
        <v>300</v>
      </c>
    </row>
    <row r="109" spans="2:8" ht="15">
      <c r="B109" s="105"/>
      <c r="D109" s="172" t="s">
        <v>491</v>
      </c>
      <c r="E109" s="10"/>
      <c r="F109" s="10"/>
      <c r="G109" s="171" t="s">
        <v>492</v>
      </c>
      <c r="H109" s="77"/>
    </row>
    <row r="110" spans="1:8" ht="15">
      <c r="A110" s="2" t="s">
        <v>301</v>
      </c>
      <c r="B110" s="105"/>
      <c r="D110" s="76"/>
      <c r="E110" s="115" t="s">
        <v>302</v>
      </c>
      <c r="F110" s="10"/>
      <c r="H110" s="77"/>
    </row>
    <row r="111" spans="1:8" ht="15">
      <c r="A111" t="s">
        <v>303</v>
      </c>
      <c r="B111" t="s">
        <v>304</v>
      </c>
      <c r="C111" s="30">
        <v>48</v>
      </c>
      <c r="D111" s="116">
        <v>100</v>
      </c>
      <c r="E111" s="10"/>
      <c r="F111" s="10"/>
      <c r="G111" s="10">
        <f>+C111*D111</f>
        <v>4800</v>
      </c>
      <c r="H111" s="77"/>
    </row>
    <row r="112" spans="1:8" ht="15">
      <c r="A112" t="s">
        <v>305</v>
      </c>
      <c r="B112" s="105">
        <v>26</v>
      </c>
      <c r="C112" s="30">
        <v>48</v>
      </c>
      <c r="D112" s="116">
        <v>16</v>
      </c>
      <c r="E112" s="10"/>
      <c r="F112" s="10"/>
      <c r="G112" s="10">
        <f>+C112*D112</f>
        <v>768</v>
      </c>
      <c r="H112" s="77"/>
    </row>
    <row r="113" spans="1:8" ht="15">
      <c r="A113" t="s">
        <v>306</v>
      </c>
      <c r="B113" s="105">
        <v>3</v>
      </c>
      <c r="C113" s="30">
        <v>48</v>
      </c>
      <c r="D113" s="116">
        <v>1</v>
      </c>
      <c r="E113" s="10">
        <f>SUM(D111:D113)</f>
        <v>117</v>
      </c>
      <c r="F113" s="10"/>
      <c r="G113" s="10">
        <f aca="true" t="shared" si="1" ref="G113:G132">+C113*D113</f>
        <v>48</v>
      </c>
      <c r="H113" s="77"/>
    </row>
    <row r="114" spans="1:8" ht="15">
      <c r="A114" s="2" t="s">
        <v>307</v>
      </c>
      <c r="H114" s="77"/>
    </row>
    <row r="115" spans="1:8" ht="15">
      <c r="A115" t="s">
        <v>308</v>
      </c>
      <c r="C115">
        <f>+J23*2</f>
        <v>4</v>
      </c>
      <c r="D115" s="76">
        <v>50</v>
      </c>
      <c r="G115" s="10">
        <f t="shared" si="1"/>
        <v>200</v>
      </c>
      <c r="H115" s="77"/>
    </row>
    <row r="116" spans="1:8" ht="15">
      <c r="A116" t="s">
        <v>309</v>
      </c>
      <c r="B116" s="105">
        <v>3</v>
      </c>
      <c r="C116" s="117">
        <f>+C115</f>
        <v>4</v>
      </c>
      <c r="D116" s="76">
        <f>+D113</f>
        <v>1</v>
      </c>
      <c r="G116" s="10">
        <f t="shared" si="1"/>
        <v>4</v>
      </c>
      <c r="H116" s="77"/>
    </row>
    <row r="117" spans="1:8" ht="15">
      <c r="A117" t="s">
        <v>310</v>
      </c>
      <c r="B117">
        <v>25</v>
      </c>
      <c r="C117">
        <f>+C115</f>
        <v>4</v>
      </c>
      <c r="D117" s="116">
        <v>16</v>
      </c>
      <c r="G117" s="10">
        <f t="shared" si="1"/>
        <v>64</v>
      </c>
      <c r="H117" s="77"/>
    </row>
    <row r="118" spans="1:8" ht="15">
      <c r="A118" s="2" t="s">
        <v>311</v>
      </c>
      <c r="D118" s="76"/>
      <c r="G118" s="10">
        <f t="shared" si="1"/>
        <v>0</v>
      </c>
      <c r="H118" s="77"/>
    </row>
    <row r="119" spans="1:8" ht="15">
      <c r="A119" t="s">
        <v>312</v>
      </c>
      <c r="C119">
        <f>+J24*3</f>
        <v>66</v>
      </c>
      <c r="D119" s="76">
        <f>+D115</f>
        <v>50</v>
      </c>
      <c r="G119" s="10">
        <f t="shared" si="1"/>
        <v>3300</v>
      </c>
      <c r="H119" s="77"/>
    </row>
    <row r="120" spans="1:8" ht="15">
      <c r="A120" t="s">
        <v>309</v>
      </c>
      <c r="B120">
        <v>3</v>
      </c>
      <c r="C120">
        <f>+C119</f>
        <v>66</v>
      </c>
      <c r="D120" s="76">
        <f>+D113</f>
        <v>1</v>
      </c>
      <c r="G120" s="10">
        <f t="shared" si="1"/>
        <v>66</v>
      </c>
      <c r="H120" s="77"/>
    </row>
    <row r="121" spans="1:8" ht="15">
      <c r="A121" t="s">
        <v>310</v>
      </c>
      <c r="B121">
        <v>25</v>
      </c>
      <c r="C121">
        <f>+C119</f>
        <v>66</v>
      </c>
      <c r="D121" s="76">
        <f>+D117</f>
        <v>16</v>
      </c>
      <c r="G121" s="10">
        <f t="shared" si="1"/>
        <v>1056</v>
      </c>
      <c r="H121" s="77"/>
    </row>
    <row r="122" spans="1:8" ht="15">
      <c r="A122" s="2" t="s">
        <v>313</v>
      </c>
      <c r="D122" s="76"/>
      <c r="G122" s="10">
        <f t="shared" si="1"/>
        <v>0</v>
      </c>
      <c r="H122" s="77"/>
    </row>
    <row r="123" spans="1:8" ht="15">
      <c r="A123" t="s">
        <v>314</v>
      </c>
      <c r="C123">
        <f>+J25*4</f>
        <v>96</v>
      </c>
      <c r="D123" s="76">
        <f>+D115</f>
        <v>50</v>
      </c>
      <c r="G123" s="10">
        <f t="shared" si="1"/>
        <v>4800</v>
      </c>
      <c r="H123" s="77"/>
    </row>
    <row r="124" spans="1:8" ht="15">
      <c r="A124" t="s">
        <v>309</v>
      </c>
      <c r="B124">
        <v>3</v>
      </c>
      <c r="C124">
        <f>+C123</f>
        <v>96</v>
      </c>
      <c r="D124" s="76">
        <f>+D116</f>
        <v>1</v>
      </c>
      <c r="G124" s="10">
        <f t="shared" si="1"/>
        <v>96</v>
      </c>
      <c r="H124" s="77"/>
    </row>
    <row r="125" spans="1:8" ht="15">
      <c r="A125" t="s">
        <v>310</v>
      </c>
      <c r="B125">
        <v>25</v>
      </c>
      <c r="C125">
        <f>+C123</f>
        <v>96</v>
      </c>
      <c r="D125" s="76">
        <f>+D117</f>
        <v>16</v>
      </c>
      <c r="G125" s="10">
        <f t="shared" si="1"/>
        <v>1536</v>
      </c>
      <c r="H125" s="77"/>
    </row>
    <row r="126" spans="5:8" ht="15">
      <c r="E126" s="10"/>
      <c r="F126" s="10"/>
      <c r="G126" s="10">
        <f t="shared" si="1"/>
        <v>0</v>
      </c>
      <c r="H126" s="77"/>
    </row>
    <row r="127" spans="1:8" ht="15">
      <c r="A127" t="s">
        <v>315</v>
      </c>
      <c r="B127" t="s">
        <v>316</v>
      </c>
      <c r="C127" s="30">
        <v>4</v>
      </c>
      <c r="D127" s="76">
        <v>100</v>
      </c>
      <c r="E127" s="10"/>
      <c r="F127" s="10"/>
      <c r="G127" s="10">
        <f t="shared" si="1"/>
        <v>400</v>
      </c>
      <c r="H127" s="77"/>
    </row>
    <row r="128" spans="1:8" ht="15">
      <c r="A128" t="s">
        <v>317</v>
      </c>
      <c r="B128" s="105">
        <v>26</v>
      </c>
      <c r="C128" s="30">
        <v>4</v>
      </c>
      <c r="D128" s="76">
        <f>+D112</f>
        <v>16</v>
      </c>
      <c r="E128" s="10"/>
      <c r="F128" s="10"/>
      <c r="G128" s="10">
        <f t="shared" si="1"/>
        <v>64</v>
      </c>
      <c r="H128" s="77"/>
    </row>
    <row r="129" spans="1:8" ht="15">
      <c r="A129" t="s">
        <v>309</v>
      </c>
      <c r="B129" s="105">
        <v>3</v>
      </c>
      <c r="C129" s="30">
        <v>4</v>
      </c>
      <c r="D129" s="76">
        <f>+D113</f>
        <v>1</v>
      </c>
      <c r="E129" s="10"/>
      <c r="F129" s="10"/>
      <c r="G129" s="10">
        <f t="shared" si="1"/>
        <v>4</v>
      </c>
      <c r="H129" s="77"/>
    </row>
    <row r="130" spans="1:8" ht="15">
      <c r="A130" t="s">
        <v>318</v>
      </c>
      <c r="B130" t="s">
        <v>319</v>
      </c>
      <c r="C130">
        <v>1</v>
      </c>
      <c r="D130" s="76">
        <v>350</v>
      </c>
      <c r="E130" s="10"/>
      <c r="F130" s="10"/>
      <c r="G130" s="10">
        <f t="shared" si="1"/>
        <v>350</v>
      </c>
      <c r="H130" s="77"/>
    </row>
    <row r="131" spans="1:8" ht="15">
      <c r="A131" t="s">
        <v>320</v>
      </c>
      <c r="B131" s="105">
        <v>26</v>
      </c>
      <c r="C131" s="30">
        <v>1</v>
      </c>
      <c r="D131" s="116">
        <v>45</v>
      </c>
      <c r="E131" s="10"/>
      <c r="F131" s="10"/>
      <c r="G131" s="10">
        <f t="shared" si="1"/>
        <v>45</v>
      </c>
      <c r="H131" s="77"/>
    </row>
    <row r="132" spans="1:8" ht="15">
      <c r="A132" t="s">
        <v>321</v>
      </c>
      <c r="B132" s="105">
        <v>3</v>
      </c>
      <c r="C132" s="30">
        <v>1</v>
      </c>
      <c r="D132" s="76">
        <f>+D113</f>
        <v>1</v>
      </c>
      <c r="E132" s="10">
        <f>SUM(G127:G132)/J27</f>
        <v>18</v>
      </c>
      <c r="F132" s="10"/>
      <c r="G132" s="10">
        <f t="shared" si="1"/>
        <v>1</v>
      </c>
      <c r="H132" s="77"/>
    </row>
    <row r="133" spans="2:8" ht="15">
      <c r="B133" s="105"/>
      <c r="D133" s="76"/>
      <c r="E133" s="10"/>
      <c r="F133" s="10"/>
      <c r="G133" s="10"/>
      <c r="H133" s="77"/>
    </row>
    <row r="134" spans="1:8" ht="15.75" thickBot="1">
      <c r="A134" s="106" t="s">
        <v>322</v>
      </c>
      <c r="B134" s="107"/>
      <c r="C134" s="106"/>
      <c r="D134" s="108"/>
      <c r="E134" s="109"/>
      <c r="F134" s="109"/>
      <c r="G134" s="109">
        <f>SUM(G111:G132)</f>
        <v>17602</v>
      </c>
      <c r="H134" s="77">
        <f>+G134/48</f>
        <v>366.7083333333333</v>
      </c>
    </row>
    <row r="135" spans="2:8" ht="15">
      <c r="B135" s="105"/>
      <c r="D135" s="76"/>
      <c r="E135" s="10"/>
      <c r="F135" s="10"/>
      <c r="H135" s="77"/>
    </row>
    <row r="136" spans="1:8" ht="15">
      <c r="A136" s="2" t="s">
        <v>323</v>
      </c>
      <c r="B136" s="105"/>
      <c r="D136" s="76"/>
      <c r="E136" s="10"/>
      <c r="F136" s="10"/>
      <c r="H136" s="77"/>
    </row>
    <row r="137" spans="1:8" ht="15">
      <c r="A137" s="2" t="s">
        <v>307</v>
      </c>
      <c r="B137" s="105"/>
      <c r="D137" s="76"/>
      <c r="E137" s="10"/>
      <c r="F137" s="10"/>
      <c r="H137" s="77"/>
    </row>
    <row r="138" spans="1:10" ht="15">
      <c r="A138" t="s">
        <v>324</v>
      </c>
      <c r="B138" s="118">
        <f>+'[1]electrical.plumbing'!G4</f>
        <v>350</v>
      </c>
      <c r="C138">
        <f>+J23</f>
        <v>2</v>
      </c>
      <c r="D138" s="116">
        <v>0.174</v>
      </c>
      <c r="G138" s="10">
        <f>B138*C138*D138</f>
        <v>121.8</v>
      </c>
      <c r="H138" s="10" t="s">
        <v>325</v>
      </c>
      <c r="I138" s="10"/>
      <c r="J138">
        <f>87/500</f>
        <v>0.174</v>
      </c>
    </row>
    <row r="139" spans="1:10" ht="15">
      <c r="A139" t="s">
        <v>326</v>
      </c>
      <c r="B139" s="118">
        <f>+'[1]electrical.plumbing'!G6</f>
        <v>275</v>
      </c>
      <c r="C139">
        <f>+C138</f>
        <v>2</v>
      </c>
      <c r="D139" s="116">
        <v>0.13</v>
      </c>
      <c r="G139" s="10">
        <f>B139*C139*D139</f>
        <v>71.5</v>
      </c>
      <c r="H139" s="10" t="s">
        <v>327</v>
      </c>
      <c r="I139" s="10"/>
      <c r="J139">
        <f>65/500</f>
        <v>0.13</v>
      </c>
    </row>
    <row r="140" spans="1:8" ht="15">
      <c r="A140" t="s">
        <v>328</v>
      </c>
      <c r="B140" s="105">
        <v>18</v>
      </c>
      <c r="C140">
        <f>+C138</f>
        <v>2</v>
      </c>
      <c r="D140" s="116">
        <v>0.5</v>
      </c>
      <c r="E140" s="10"/>
      <c r="F140" s="10"/>
      <c r="G140" s="10">
        <f aca="true" t="shared" si="2" ref="G140:G155">B140*C140*D140</f>
        <v>18</v>
      </c>
      <c r="H140" s="77"/>
    </row>
    <row r="141" spans="1:8" ht="15">
      <c r="A141" t="s">
        <v>329</v>
      </c>
      <c r="B141" s="105">
        <f>+B140</f>
        <v>18</v>
      </c>
      <c r="C141">
        <f>+C140</f>
        <v>2</v>
      </c>
      <c r="D141" s="116">
        <v>0.15</v>
      </c>
      <c r="E141" s="10"/>
      <c r="F141" s="10"/>
      <c r="G141" s="10">
        <f t="shared" si="2"/>
        <v>5.3999999999999995</v>
      </c>
      <c r="H141" s="77"/>
    </row>
    <row r="142" spans="1:8" ht="15">
      <c r="A142" t="s">
        <v>330</v>
      </c>
      <c r="B142" s="105">
        <v>10</v>
      </c>
      <c r="C142">
        <f aca="true" t="shared" si="3" ref="C142:C150">+C141</f>
        <v>2</v>
      </c>
      <c r="D142" s="116">
        <v>0.55</v>
      </c>
      <c r="E142" s="10"/>
      <c r="F142" s="10"/>
      <c r="G142" s="10">
        <f t="shared" si="2"/>
        <v>11</v>
      </c>
      <c r="H142" s="77"/>
    </row>
    <row r="143" spans="1:8" ht="15">
      <c r="A143" t="s">
        <v>331</v>
      </c>
      <c r="B143" s="105">
        <f>+B142</f>
        <v>10</v>
      </c>
      <c r="C143">
        <f t="shared" si="3"/>
        <v>2</v>
      </c>
      <c r="D143" s="116">
        <v>0.5</v>
      </c>
      <c r="E143" s="10"/>
      <c r="F143" s="10"/>
      <c r="G143" s="10">
        <f t="shared" si="2"/>
        <v>10</v>
      </c>
      <c r="H143" s="77"/>
    </row>
    <row r="144" spans="1:8" ht="15">
      <c r="A144" t="s">
        <v>332</v>
      </c>
      <c r="B144" s="105">
        <f>+B142</f>
        <v>10</v>
      </c>
      <c r="C144">
        <f t="shared" si="3"/>
        <v>2</v>
      </c>
      <c r="D144" s="116">
        <v>0.15</v>
      </c>
      <c r="E144" s="10"/>
      <c r="F144" s="10"/>
      <c r="G144" s="10">
        <f t="shared" si="2"/>
        <v>3</v>
      </c>
      <c r="H144" s="77"/>
    </row>
    <row r="145" spans="1:8" ht="15">
      <c r="A145" t="s">
        <v>333</v>
      </c>
      <c r="B145" s="105">
        <v>2</v>
      </c>
      <c r="C145">
        <f>+C144</f>
        <v>2</v>
      </c>
      <c r="D145" s="116">
        <f>+D142</f>
        <v>0.55</v>
      </c>
      <c r="E145" s="10"/>
      <c r="F145" s="10"/>
      <c r="G145" s="10">
        <f t="shared" si="2"/>
        <v>2.2</v>
      </c>
      <c r="H145" s="77"/>
    </row>
    <row r="146" spans="1:8" ht="15">
      <c r="A146" t="s">
        <v>334</v>
      </c>
      <c r="B146" s="105">
        <f>+B145</f>
        <v>2</v>
      </c>
      <c r="C146">
        <f>+C144</f>
        <v>2</v>
      </c>
      <c r="D146" s="116">
        <f>+D143</f>
        <v>0.5</v>
      </c>
      <c r="E146" s="10"/>
      <c r="F146" s="10"/>
      <c r="G146" s="10">
        <f t="shared" si="2"/>
        <v>2</v>
      </c>
      <c r="H146" s="77"/>
    </row>
    <row r="147" spans="1:8" ht="15">
      <c r="A147" t="s">
        <v>335</v>
      </c>
      <c r="B147" s="105">
        <f>+B145</f>
        <v>2</v>
      </c>
      <c r="C147">
        <f>+C146</f>
        <v>2</v>
      </c>
      <c r="D147" s="116">
        <f>+D144</f>
        <v>0.15</v>
      </c>
      <c r="E147" s="10"/>
      <c r="F147" s="10"/>
      <c r="G147" s="10">
        <f t="shared" si="2"/>
        <v>0.6</v>
      </c>
      <c r="H147" s="77"/>
    </row>
    <row r="148" spans="1:8" ht="15">
      <c r="A148" t="s">
        <v>336</v>
      </c>
      <c r="B148">
        <f>+B140</f>
        <v>18</v>
      </c>
      <c r="C148">
        <f>+C144</f>
        <v>2</v>
      </c>
      <c r="D148" s="116">
        <v>0.6</v>
      </c>
      <c r="E148" s="10"/>
      <c r="F148" s="10"/>
      <c r="G148" s="10">
        <f t="shared" si="2"/>
        <v>21.599999999999998</v>
      </c>
      <c r="H148" s="77"/>
    </row>
    <row r="149" spans="1:8" ht="15">
      <c r="A149" t="s">
        <v>337</v>
      </c>
      <c r="B149" s="105">
        <f>+B144+B145</f>
        <v>12</v>
      </c>
      <c r="C149">
        <f t="shared" si="3"/>
        <v>2</v>
      </c>
      <c r="D149" s="116">
        <v>1</v>
      </c>
      <c r="E149" s="10"/>
      <c r="F149" s="10"/>
      <c r="G149" s="10">
        <f t="shared" si="2"/>
        <v>24</v>
      </c>
      <c r="H149" s="77"/>
    </row>
    <row r="150" spans="1:8" ht="15">
      <c r="A150" t="s">
        <v>338</v>
      </c>
      <c r="B150" s="105">
        <f>+B149</f>
        <v>12</v>
      </c>
      <c r="C150">
        <f t="shared" si="3"/>
        <v>2</v>
      </c>
      <c r="D150" s="116">
        <v>0.8</v>
      </c>
      <c r="E150" s="10"/>
      <c r="F150" s="10"/>
      <c r="G150" s="10">
        <f t="shared" si="2"/>
        <v>19.200000000000003</v>
      </c>
      <c r="H150" s="77"/>
    </row>
    <row r="151" spans="1:8" ht="15">
      <c r="A151" t="s">
        <v>339</v>
      </c>
      <c r="B151" s="105">
        <v>1</v>
      </c>
      <c r="C151">
        <f>+C144</f>
        <v>2</v>
      </c>
      <c r="D151" s="116">
        <v>30</v>
      </c>
      <c r="E151" s="10"/>
      <c r="F151" s="10"/>
      <c r="G151" s="10">
        <f t="shared" si="2"/>
        <v>60</v>
      </c>
      <c r="H151" s="77"/>
    </row>
    <row r="152" spans="1:8" ht="15">
      <c r="A152" t="s">
        <v>340</v>
      </c>
      <c r="B152" s="105">
        <v>4</v>
      </c>
      <c r="C152">
        <f>+C148</f>
        <v>2</v>
      </c>
      <c r="D152" s="116">
        <v>5.25</v>
      </c>
      <c r="E152" s="10"/>
      <c r="F152" s="10"/>
      <c r="G152" s="10">
        <f t="shared" si="2"/>
        <v>42</v>
      </c>
      <c r="H152" s="77"/>
    </row>
    <row r="153" spans="1:8" ht="15">
      <c r="A153" t="s">
        <v>341</v>
      </c>
      <c r="B153" s="105">
        <v>1</v>
      </c>
      <c r="C153">
        <f>+C149</f>
        <v>2</v>
      </c>
      <c r="D153" s="116">
        <v>52</v>
      </c>
      <c r="E153" s="10"/>
      <c r="F153" s="10"/>
      <c r="G153" s="10">
        <f t="shared" si="2"/>
        <v>104</v>
      </c>
      <c r="H153" s="77"/>
    </row>
    <row r="154" spans="1:8" ht="15">
      <c r="A154" t="s">
        <v>342</v>
      </c>
      <c r="B154" s="105">
        <v>1</v>
      </c>
      <c r="C154">
        <f>+C150</f>
        <v>2</v>
      </c>
      <c r="D154" s="116">
        <v>2.1</v>
      </c>
      <c r="E154" s="10"/>
      <c r="F154" s="10"/>
      <c r="G154" s="10">
        <f t="shared" si="2"/>
        <v>4.2</v>
      </c>
      <c r="H154" s="77"/>
    </row>
    <row r="155" spans="1:8" ht="15">
      <c r="A155" t="s">
        <v>343</v>
      </c>
      <c r="B155" s="105">
        <v>2</v>
      </c>
      <c r="C155">
        <f>+C151</f>
        <v>2</v>
      </c>
      <c r="D155" s="119">
        <v>12.5</v>
      </c>
      <c r="E155" s="10">
        <f>SUM(G138:G155)/C138</f>
        <v>285.25</v>
      </c>
      <c r="F155" s="10"/>
      <c r="G155" s="10">
        <f t="shared" si="2"/>
        <v>50</v>
      </c>
      <c r="H155" s="77" t="s">
        <v>344</v>
      </c>
    </row>
    <row r="156" spans="1:8" ht="15">
      <c r="A156" s="2"/>
      <c r="B156" s="105"/>
      <c r="D156" s="76"/>
      <c r="E156" s="10"/>
      <c r="F156" s="10"/>
      <c r="G156" s="10"/>
      <c r="H156" s="77"/>
    </row>
    <row r="157" spans="1:8" ht="15">
      <c r="A157" s="2" t="s">
        <v>311</v>
      </c>
      <c r="B157" s="105"/>
      <c r="D157" s="76"/>
      <c r="E157" s="10"/>
      <c r="F157" s="10"/>
      <c r="G157" s="10"/>
      <c r="H157" s="77"/>
    </row>
    <row r="158" spans="1:8" ht="15">
      <c r="A158" t="s">
        <v>324</v>
      </c>
      <c r="B158" s="118">
        <f>+'[1]electrical.plumbing'!G7</f>
        <v>400</v>
      </c>
      <c r="C158">
        <f>+J24</f>
        <v>22</v>
      </c>
      <c r="D158" s="76">
        <f aca="true" t="shared" si="4" ref="D158:D164">+D138</f>
        <v>0.174</v>
      </c>
      <c r="E158" s="10"/>
      <c r="F158" s="10"/>
      <c r="G158" s="10">
        <f aca="true" t="shared" si="5" ref="G158:G175">B158*C158*D158</f>
        <v>1531.1999999999998</v>
      </c>
      <c r="H158" s="77"/>
    </row>
    <row r="159" spans="1:8" ht="15">
      <c r="A159" t="s">
        <v>326</v>
      </c>
      <c r="B159" s="118">
        <f>+'[1]electrical.plumbing'!G9</f>
        <v>350</v>
      </c>
      <c r="C159">
        <f>+C158</f>
        <v>22</v>
      </c>
      <c r="D159" s="76">
        <f t="shared" si="4"/>
        <v>0.13</v>
      </c>
      <c r="E159" s="10"/>
      <c r="F159" s="10"/>
      <c r="G159" s="10">
        <f t="shared" si="5"/>
        <v>1001</v>
      </c>
      <c r="H159" s="77"/>
    </row>
    <row r="160" spans="1:8" ht="15">
      <c r="A160" t="s">
        <v>328</v>
      </c>
      <c r="B160" s="105">
        <v>22</v>
      </c>
      <c r="C160">
        <f>+C158</f>
        <v>22</v>
      </c>
      <c r="D160" s="76">
        <f t="shared" si="4"/>
        <v>0.5</v>
      </c>
      <c r="E160" s="10"/>
      <c r="F160" s="10"/>
      <c r="G160" s="10">
        <f t="shared" si="5"/>
        <v>242</v>
      </c>
      <c r="H160" s="77"/>
    </row>
    <row r="161" spans="1:8" ht="15">
      <c r="A161" t="s">
        <v>329</v>
      </c>
      <c r="B161" s="105">
        <f>+B160</f>
        <v>22</v>
      </c>
      <c r="C161">
        <f aca="true" t="shared" si="6" ref="C161:C170">+C160</f>
        <v>22</v>
      </c>
      <c r="D161" s="76">
        <f t="shared" si="4"/>
        <v>0.15</v>
      </c>
      <c r="E161" s="10"/>
      <c r="F161" s="10"/>
      <c r="G161" s="10">
        <f t="shared" si="5"/>
        <v>72.6</v>
      </c>
      <c r="H161" s="77"/>
    </row>
    <row r="162" spans="1:8" ht="15">
      <c r="A162" t="str">
        <f>+A142</f>
        <v>Ceramic Lights-2 per room</v>
      </c>
      <c r="B162" s="105">
        <v>12</v>
      </c>
      <c r="C162">
        <f t="shared" si="6"/>
        <v>22</v>
      </c>
      <c r="D162" s="76">
        <f t="shared" si="4"/>
        <v>0.55</v>
      </c>
      <c r="E162" s="10"/>
      <c r="F162" s="10"/>
      <c r="G162" s="10">
        <f t="shared" si="5"/>
        <v>145.20000000000002</v>
      </c>
      <c r="H162" s="77"/>
    </row>
    <row r="163" spans="1:8" ht="15">
      <c r="A163" t="s">
        <v>331</v>
      </c>
      <c r="B163" s="105">
        <f>+B162</f>
        <v>12</v>
      </c>
      <c r="C163">
        <f t="shared" si="6"/>
        <v>22</v>
      </c>
      <c r="D163" s="76">
        <f t="shared" si="4"/>
        <v>0.5</v>
      </c>
      <c r="E163" s="10"/>
      <c r="F163" s="10"/>
      <c r="G163" s="10">
        <f t="shared" si="5"/>
        <v>132</v>
      </c>
      <c r="H163" s="77"/>
    </row>
    <row r="164" spans="1:8" ht="15">
      <c r="A164" t="s">
        <v>332</v>
      </c>
      <c r="B164" s="105">
        <f>+B162</f>
        <v>12</v>
      </c>
      <c r="C164">
        <f t="shared" si="6"/>
        <v>22</v>
      </c>
      <c r="D164" s="76">
        <f t="shared" si="4"/>
        <v>0.15</v>
      </c>
      <c r="E164" s="10"/>
      <c r="F164" s="10"/>
      <c r="G164" s="10">
        <f t="shared" si="5"/>
        <v>39.6</v>
      </c>
      <c r="H164" s="77"/>
    </row>
    <row r="165" spans="1:8" ht="15">
      <c r="A165" t="s">
        <v>333</v>
      </c>
      <c r="B165" s="105">
        <v>2</v>
      </c>
      <c r="C165">
        <f>+C164</f>
        <v>22</v>
      </c>
      <c r="D165" s="76">
        <f>+D162</f>
        <v>0.55</v>
      </c>
      <c r="E165" s="10"/>
      <c r="F165" s="10"/>
      <c r="G165" s="10">
        <f t="shared" si="5"/>
        <v>24.200000000000003</v>
      </c>
      <c r="H165" s="77"/>
    </row>
    <row r="166" spans="1:8" ht="15">
      <c r="A166" t="s">
        <v>334</v>
      </c>
      <c r="B166" s="105">
        <f>+B165</f>
        <v>2</v>
      </c>
      <c r="C166">
        <f>+C164</f>
        <v>22</v>
      </c>
      <c r="D166" s="76">
        <f aca="true" t="shared" si="7" ref="D166:D175">+D146</f>
        <v>0.5</v>
      </c>
      <c r="E166" s="10"/>
      <c r="F166" s="10"/>
      <c r="G166" s="10">
        <f t="shared" si="5"/>
        <v>22</v>
      </c>
      <c r="H166" s="77"/>
    </row>
    <row r="167" spans="1:8" ht="15">
      <c r="A167" t="s">
        <v>335</v>
      </c>
      <c r="B167" s="105">
        <f>+B165</f>
        <v>2</v>
      </c>
      <c r="C167">
        <f>+C166</f>
        <v>22</v>
      </c>
      <c r="D167" s="76">
        <f t="shared" si="7"/>
        <v>0.15</v>
      </c>
      <c r="E167" s="10"/>
      <c r="F167" s="10"/>
      <c r="G167" s="10">
        <f t="shared" si="5"/>
        <v>6.6</v>
      </c>
      <c r="H167" s="77"/>
    </row>
    <row r="168" spans="1:8" ht="15">
      <c r="A168" t="s">
        <v>336</v>
      </c>
      <c r="B168" s="105">
        <f>+B160</f>
        <v>22</v>
      </c>
      <c r="C168">
        <f>+C164</f>
        <v>22</v>
      </c>
      <c r="D168" s="76">
        <f t="shared" si="7"/>
        <v>0.6</v>
      </c>
      <c r="E168" s="10"/>
      <c r="F168" s="10"/>
      <c r="G168" s="10">
        <f t="shared" si="5"/>
        <v>290.4</v>
      </c>
      <c r="H168" s="77"/>
    </row>
    <row r="169" spans="1:8" ht="15">
      <c r="A169" t="s">
        <v>337</v>
      </c>
      <c r="B169" s="105">
        <f>+B162+B165</f>
        <v>14</v>
      </c>
      <c r="C169">
        <f t="shared" si="6"/>
        <v>22</v>
      </c>
      <c r="D169" s="76">
        <f t="shared" si="7"/>
        <v>1</v>
      </c>
      <c r="E169" s="10"/>
      <c r="F169" s="10"/>
      <c r="G169" s="10">
        <f t="shared" si="5"/>
        <v>308</v>
      </c>
      <c r="H169" s="77"/>
    </row>
    <row r="170" spans="1:8" ht="15">
      <c r="A170" t="s">
        <v>338</v>
      </c>
      <c r="B170" s="105">
        <f>+B169</f>
        <v>14</v>
      </c>
      <c r="C170">
        <f t="shared" si="6"/>
        <v>22</v>
      </c>
      <c r="D170" s="76">
        <f t="shared" si="7"/>
        <v>0.8</v>
      </c>
      <c r="E170" s="10"/>
      <c r="F170" s="10"/>
      <c r="G170" s="10">
        <f t="shared" si="5"/>
        <v>246.4</v>
      </c>
      <c r="H170" s="77"/>
    </row>
    <row r="171" spans="1:8" ht="15">
      <c r="A171" t="s">
        <v>339</v>
      </c>
      <c r="B171" s="105">
        <v>1</v>
      </c>
      <c r="C171">
        <f>+C164</f>
        <v>22</v>
      </c>
      <c r="D171" s="76">
        <f t="shared" si="7"/>
        <v>30</v>
      </c>
      <c r="E171" s="10"/>
      <c r="F171" s="10"/>
      <c r="G171" s="10">
        <f t="shared" si="5"/>
        <v>660</v>
      </c>
      <c r="H171" s="77"/>
    </row>
    <row r="172" spans="1:8" ht="15">
      <c r="A172" t="s">
        <v>340</v>
      </c>
      <c r="B172" s="105">
        <v>4</v>
      </c>
      <c r="C172">
        <f>+C168</f>
        <v>22</v>
      </c>
      <c r="D172" s="76">
        <f t="shared" si="7"/>
        <v>5.25</v>
      </c>
      <c r="E172" s="10"/>
      <c r="F172" s="10"/>
      <c r="G172" s="10">
        <f t="shared" si="5"/>
        <v>462</v>
      </c>
      <c r="H172" s="77"/>
    </row>
    <row r="173" spans="1:8" ht="15">
      <c r="A173" t="s">
        <v>341</v>
      </c>
      <c r="B173" s="105">
        <v>1</v>
      </c>
      <c r="C173">
        <f>+C169</f>
        <v>22</v>
      </c>
      <c r="D173" s="76">
        <f t="shared" si="7"/>
        <v>52</v>
      </c>
      <c r="E173" s="10"/>
      <c r="F173" s="10"/>
      <c r="G173" s="10">
        <f t="shared" si="5"/>
        <v>1144</v>
      </c>
      <c r="H173" s="77"/>
    </row>
    <row r="174" spans="1:8" ht="15">
      <c r="A174" t="s">
        <v>342</v>
      </c>
      <c r="B174" s="105">
        <v>1</v>
      </c>
      <c r="C174">
        <f>+C170</f>
        <v>22</v>
      </c>
      <c r="D174" s="76">
        <f t="shared" si="7"/>
        <v>2.1</v>
      </c>
      <c r="E174" s="10"/>
      <c r="F174" s="10"/>
      <c r="G174" s="10">
        <f t="shared" si="5"/>
        <v>46.2</v>
      </c>
      <c r="H174" s="77"/>
    </row>
    <row r="175" spans="1:8" ht="15">
      <c r="A175" t="s">
        <v>343</v>
      </c>
      <c r="B175" s="105">
        <v>3</v>
      </c>
      <c r="C175">
        <f>+C171</f>
        <v>22</v>
      </c>
      <c r="D175" s="76">
        <f t="shared" si="7"/>
        <v>12.5</v>
      </c>
      <c r="E175" s="10">
        <f>SUM(G158:G175)/C158</f>
        <v>327.19999999999993</v>
      </c>
      <c r="F175" s="10"/>
      <c r="G175" s="10">
        <f t="shared" si="5"/>
        <v>825</v>
      </c>
      <c r="H175" s="77"/>
    </row>
    <row r="176" spans="2:8" ht="15">
      <c r="B176" s="105"/>
      <c r="D176" s="76"/>
      <c r="E176" s="10"/>
      <c r="F176" s="10"/>
      <c r="G176" s="10"/>
      <c r="H176" s="77"/>
    </row>
    <row r="177" spans="1:8" ht="15">
      <c r="A177" s="2" t="s">
        <v>313</v>
      </c>
      <c r="B177" s="105"/>
      <c r="D177" s="76"/>
      <c r="E177" s="10"/>
      <c r="F177" s="10"/>
      <c r="G177" s="10"/>
      <c r="H177" s="77"/>
    </row>
    <row r="178" spans="1:8" ht="15">
      <c r="A178" t="s">
        <v>324</v>
      </c>
      <c r="B178" s="118">
        <f>+'[1]electrical.plumbing'!G10</f>
        <v>400</v>
      </c>
      <c r="C178">
        <f>+J25</f>
        <v>24</v>
      </c>
      <c r="D178" s="76">
        <f aca="true" t="shared" si="8" ref="D178:D195">+D158</f>
        <v>0.174</v>
      </c>
      <c r="E178" s="10"/>
      <c r="F178" s="10"/>
      <c r="G178" s="10">
        <f aca="true" t="shared" si="9" ref="G178:G195">B178*C178*D178</f>
        <v>1670.3999999999999</v>
      </c>
      <c r="H178" s="77"/>
    </row>
    <row r="179" spans="1:8" ht="15">
      <c r="A179" t="s">
        <v>326</v>
      </c>
      <c r="B179" s="118">
        <f>+'[1]electrical.plumbing'!G12</f>
        <v>400</v>
      </c>
      <c r="C179">
        <f>+C178</f>
        <v>24</v>
      </c>
      <c r="D179" s="76">
        <f t="shared" si="8"/>
        <v>0.13</v>
      </c>
      <c r="E179" s="10"/>
      <c r="F179" s="10"/>
      <c r="G179" s="10">
        <f t="shared" si="9"/>
        <v>1248</v>
      </c>
      <c r="H179" s="77"/>
    </row>
    <row r="180" spans="1:8" ht="15">
      <c r="A180" t="s">
        <v>328</v>
      </c>
      <c r="B180" s="105">
        <v>26</v>
      </c>
      <c r="C180">
        <f>+C178</f>
        <v>24</v>
      </c>
      <c r="D180" s="76">
        <f t="shared" si="8"/>
        <v>0.5</v>
      </c>
      <c r="E180" s="10"/>
      <c r="F180" s="10"/>
      <c r="G180" s="10">
        <f t="shared" si="9"/>
        <v>312</v>
      </c>
      <c r="H180" s="77"/>
    </row>
    <row r="181" spans="1:8" ht="15">
      <c r="A181" t="s">
        <v>329</v>
      </c>
      <c r="B181" s="105">
        <f>+B180</f>
        <v>26</v>
      </c>
      <c r="C181">
        <f aca="true" t="shared" si="10" ref="C181:C190">+C180</f>
        <v>24</v>
      </c>
      <c r="D181" s="76">
        <f t="shared" si="8"/>
        <v>0.15</v>
      </c>
      <c r="E181" s="10"/>
      <c r="F181" s="10"/>
      <c r="G181" s="10">
        <f t="shared" si="9"/>
        <v>93.6</v>
      </c>
      <c r="H181" s="77"/>
    </row>
    <row r="182" spans="1:8" ht="15">
      <c r="A182" t="str">
        <f>+A142</f>
        <v>Ceramic Lights-2 per room</v>
      </c>
      <c r="B182" s="105">
        <v>14</v>
      </c>
      <c r="C182">
        <f t="shared" si="10"/>
        <v>24</v>
      </c>
      <c r="D182" s="76">
        <f t="shared" si="8"/>
        <v>0.55</v>
      </c>
      <c r="E182" s="10"/>
      <c r="F182" s="10"/>
      <c r="G182" s="10">
        <f t="shared" si="9"/>
        <v>184.8</v>
      </c>
      <c r="H182" s="77"/>
    </row>
    <row r="183" spans="1:8" ht="15">
      <c r="A183" t="s">
        <v>345</v>
      </c>
      <c r="B183" s="105">
        <f>+B182</f>
        <v>14</v>
      </c>
      <c r="C183">
        <f t="shared" si="10"/>
        <v>24</v>
      </c>
      <c r="D183" s="76">
        <f t="shared" si="8"/>
        <v>0.5</v>
      </c>
      <c r="E183" s="10"/>
      <c r="F183" s="10"/>
      <c r="G183" s="10">
        <f t="shared" si="9"/>
        <v>168</v>
      </c>
      <c r="H183" s="77"/>
    </row>
    <row r="184" spans="1:8" ht="15">
      <c r="A184" t="s">
        <v>346</v>
      </c>
      <c r="B184" s="105">
        <f>+B183</f>
        <v>14</v>
      </c>
      <c r="C184">
        <f t="shared" si="10"/>
        <v>24</v>
      </c>
      <c r="D184" s="76">
        <f t="shared" si="8"/>
        <v>0.15</v>
      </c>
      <c r="E184" s="10"/>
      <c r="F184" s="10"/>
      <c r="G184" s="10">
        <f t="shared" si="9"/>
        <v>50.4</v>
      </c>
      <c r="H184" s="77"/>
    </row>
    <row r="185" spans="1:8" ht="15">
      <c r="A185" t="s">
        <v>347</v>
      </c>
      <c r="B185" s="105">
        <v>3</v>
      </c>
      <c r="C185">
        <f t="shared" si="10"/>
        <v>24</v>
      </c>
      <c r="D185" s="76">
        <f t="shared" si="8"/>
        <v>0.55</v>
      </c>
      <c r="E185" s="10"/>
      <c r="F185" s="10"/>
      <c r="G185" s="10">
        <f t="shared" si="9"/>
        <v>39.6</v>
      </c>
      <c r="H185" s="77"/>
    </row>
    <row r="186" spans="1:8" ht="15">
      <c r="A186" t="s">
        <v>348</v>
      </c>
      <c r="B186" s="105">
        <f>+B185</f>
        <v>3</v>
      </c>
      <c r="C186">
        <f t="shared" si="10"/>
        <v>24</v>
      </c>
      <c r="D186" s="76">
        <f t="shared" si="8"/>
        <v>0.5</v>
      </c>
      <c r="E186" s="10"/>
      <c r="F186" s="10"/>
      <c r="G186" s="10">
        <f t="shared" si="9"/>
        <v>36</v>
      </c>
      <c r="H186" s="77"/>
    </row>
    <row r="187" spans="1:8" ht="15">
      <c r="A187" t="s">
        <v>349</v>
      </c>
      <c r="B187" s="105">
        <f>+B185</f>
        <v>3</v>
      </c>
      <c r="C187">
        <f t="shared" si="10"/>
        <v>24</v>
      </c>
      <c r="D187" s="76">
        <f t="shared" si="8"/>
        <v>0.15</v>
      </c>
      <c r="E187" s="10"/>
      <c r="F187" s="10"/>
      <c r="G187" s="10">
        <f t="shared" si="9"/>
        <v>10.799999999999999</v>
      </c>
      <c r="H187" s="77"/>
    </row>
    <row r="188" spans="1:8" ht="15">
      <c r="A188" t="s">
        <v>336</v>
      </c>
      <c r="B188" s="105">
        <f>+B180</f>
        <v>26</v>
      </c>
      <c r="C188">
        <f>+C184</f>
        <v>24</v>
      </c>
      <c r="D188" s="76">
        <f t="shared" si="8"/>
        <v>0.6</v>
      </c>
      <c r="E188" s="10"/>
      <c r="F188" s="10"/>
      <c r="G188" s="10">
        <f t="shared" si="9"/>
        <v>374.4</v>
      </c>
      <c r="H188" s="77"/>
    </row>
    <row r="189" spans="1:8" ht="15">
      <c r="A189" t="s">
        <v>337</v>
      </c>
      <c r="B189" s="105">
        <f>+B182+B185</f>
        <v>17</v>
      </c>
      <c r="C189">
        <f t="shared" si="10"/>
        <v>24</v>
      </c>
      <c r="D189" s="76">
        <f t="shared" si="8"/>
        <v>1</v>
      </c>
      <c r="E189" s="10"/>
      <c r="F189" s="10"/>
      <c r="G189" s="10">
        <f t="shared" si="9"/>
        <v>408</v>
      </c>
      <c r="H189" s="77"/>
    </row>
    <row r="190" spans="1:8" ht="15">
      <c r="A190" t="s">
        <v>338</v>
      </c>
      <c r="B190" s="105">
        <f>+B189</f>
        <v>17</v>
      </c>
      <c r="C190">
        <f t="shared" si="10"/>
        <v>24</v>
      </c>
      <c r="D190" s="76">
        <f t="shared" si="8"/>
        <v>0.8</v>
      </c>
      <c r="E190" s="10"/>
      <c r="F190" s="10"/>
      <c r="G190" s="10">
        <f t="shared" si="9"/>
        <v>326.40000000000003</v>
      </c>
      <c r="H190" s="77"/>
    </row>
    <row r="191" spans="1:8" ht="15">
      <c r="A191" t="s">
        <v>339</v>
      </c>
      <c r="B191" s="105">
        <v>1</v>
      </c>
      <c r="C191">
        <f>+C184</f>
        <v>24</v>
      </c>
      <c r="D191" s="76">
        <f t="shared" si="8"/>
        <v>30</v>
      </c>
      <c r="E191" s="10"/>
      <c r="F191" s="10"/>
      <c r="G191" s="10">
        <f t="shared" si="9"/>
        <v>720</v>
      </c>
      <c r="H191" s="77"/>
    </row>
    <row r="192" spans="1:8" ht="15">
      <c r="A192" t="s">
        <v>340</v>
      </c>
      <c r="B192" s="105">
        <v>4</v>
      </c>
      <c r="C192">
        <f>+C188</f>
        <v>24</v>
      </c>
      <c r="D192" s="76">
        <f t="shared" si="8"/>
        <v>5.25</v>
      </c>
      <c r="E192" s="10"/>
      <c r="F192" s="10"/>
      <c r="G192" s="10">
        <f t="shared" si="9"/>
        <v>504</v>
      </c>
      <c r="H192" s="77"/>
    </row>
    <row r="193" spans="1:8" ht="15">
      <c r="A193" t="s">
        <v>341</v>
      </c>
      <c r="B193" s="105">
        <v>1</v>
      </c>
      <c r="C193">
        <f>+C189</f>
        <v>24</v>
      </c>
      <c r="D193" s="76">
        <f t="shared" si="8"/>
        <v>52</v>
      </c>
      <c r="E193" s="10"/>
      <c r="F193" s="10"/>
      <c r="G193" s="10">
        <f t="shared" si="9"/>
        <v>1248</v>
      </c>
      <c r="H193" s="77"/>
    </row>
    <row r="194" spans="1:8" ht="15">
      <c r="A194" t="s">
        <v>342</v>
      </c>
      <c r="B194" s="105">
        <v>1</v>
      </c>
      <c r="C194">
        <f>+C190</f>
        <v>24</v>
      </c>
      <c r="D194" s="76">
        <f t="shared" si="8"/>
        <v>2.1</v>
      </c>
      <c r="E194" s="10"/>
      <c r="F194" s="10"/>
      <c r="G194" s="10">
        <f t="shared" si="9"/>
        <v>50.400000000000006</v>
      </c>
      <c r="H194" s="77"/>
    </row>
    <row r="195" spans="1:8" ht="15">
      <c r="A195" t="s">
        <v>343</v>
      </c>
      <c r="B195" s="105">
        <v>4</v>
      </c>
      <c r="C195">
        <f>+C191</f>
        <v>24</v>
      </c>
      <c r="D195" s="76">
        <f t="shared" si="8"/>
        <v>12.5</v>
      </c>
      <c r="E195" s="10">
        <f>SUM(G178:G195)/C178</f>
        <v>360.2</v>
      </c>
      <c r="F195" s="10"/>
      <c r="G195" s="10">
        <f t="shared" si="9"/>
        <v>1200</v>
      </c>
      <c r="H195" s="77"/>
    </row>
    <row r="196" spans="2:8" ht="15">
      <c r="B196" s="105"/>
      <c r="D196" s="76"/>
      <c r="E196" s="10"/>
      <c r="F196" s="10"/>
      <c r="H196" s="77"/>
    </row>
    <row r="197" spans="1:8" ht="15">
      <c r="A197" t="s">
        <v>350</v>
      </c>
      <c r="B197" s="118">
        <f>+'[1]electrical.plumbing'!F14</f>
        <v>750</v>
      </c>
      <c r="C197">
        <v>1</v>
      </c>
      <c r="D197" s="76">
        <f>+D138</f>
        <v>0.174</v>
      </c>
      <c r="E197" s="10"/>
      <c r="F197" s="10"/>
      <c r="G197" s="10">
        <f>+B197*C197*D197</f>
        <v>130.5</v>
      </c>
      <c r="H197" s="77"/>
    </row>
    <row r="198" spans="1:8" ht="15">
      <c r="A198" t="s">
        <v>351</v>
      </c>
      <c r="B198" s="118">
        <f>+'[1]electrical.plumbing'!F15</f>
        <v>750</v>
      </c>
      <c r="C198">
        <f>+C197</f>
        <v>1</v>
      </c>
      <c r="D198" s="76">
        <f>+D139</f>
        <v>0.13</v>
      </c>
      <c r="E198" s="10"/>
      <c r="F198" s="10"/>
      <c r="G198" s="10">
        <f>+B198*C198*D198</f>
        <v>97.5</v>
      </c>
      <c r="H198" s="77"/>
    </row>
    <row r="199" spans="1:8" ht="15">
      <c r="A199" t="s">
        <v>352</v>
      </c>
      <c r="B199" s="105">
        <v>9</v>
      </c>
      <c r="C199">
        <v>4</v>
      </c>
      <c r="D199" s="76">
        <f>+D140</f>
        <v>0.5</v>
      </c>
      <c r="E199" s="10"/>
      <c r="F199" s="10"/>
      <c r="G199" s="10">
        <f aca="true" t="shared" si="11" ref="G199:G212">+B199*C199*D199</f>
        <v>18</v>
      </c>
      <c r="H199" s="77"/>
    </row>
    <row r="200" spans="1:8" ht="15">
      <c r="A200" t="s">
        <v>353</v>
      </c>
      <c r="B200" s="105">
        <v>9</v>
      </c>
      <c r="C200">
        <f>+C199</f>
        <v>4</v>
      </c>
      <c r="D200" s="76">
        <f>+D141</f>
        <v>0.15</v>
      </c>
      <c r="E200" s="10"/>
      <c r="F200" s="10"/>
      <c r="G200" s="10">
        <f t="shared" si="11"/>
        <v>5.3999999999999995</v>
      </c>
      <c r="H200" s="77"/>
    </row>
    <row r="201" spans="1:8" ht="15">
      <c r="A201" t="s">
        <v>354</v>
      </c>
      <c r="B201" s="105">
        <v>8</v>
      </c>
      <c r="C201">
        <v>4</v>
      </c>
      <c r="D201" s="76">
        <v>10</v>
      </c>
      <c r="E201" s="10"/>
      <c r="F201" s="10"/>
      <c r="G201" s="10">
        <f t="shared" si="11"/>
        <v>320</v>
      </c>
      <c r="H201" s="77"/>
    </row>
    <row r="202" spans="1:8" ht="15">
      <c r="A202" t="s">
        <v>355</v>
      </c>
      <c r="B202" s="105">
        <f>+B201</f>
        <v>8</v>
      </c>
      <c r="C202">
        <f>+C201</f>
        <v>4</v>
      </c>
      <c r="D202" s="76">
        <f>+D143</f>
        <v>0.5</v>
      </c>
      <c r="E202" s="10"/>
      <c r="F202" s="10"/>
      <c r="G202" s="10">
        <f t="shared" si="11"/>
        <v>16</v>
      </c>
      <c r="H202" s="77"/>
    </row>
    <row r="203" spans="1:8" ht="15">
      <c r="A203" t="s">
        <v>356</v>
      </c>
      <c r="B203" s="105">
        <f>+B201</f>
        <v>8</v>
      </c>
      <c r="C203">
        <f>+C201</f>
        <v>4</v>
      </c>
      <c r="D203" s="76">
        <f>+D144</f>
        <v>0.15</v>
      </c>
      <c r="E203" s="10"/>
      <c r="F203" s="10"/>
      <c r="G203" s="10">
        <f t="shared" si="11"/>
        <v>4.8</v>
      </c>
      <c r="H203" s="77"/>
    </row>
    <row r="204" spans="1:8" ht="15">
      <c r="A204" t="s">
        <v>336</v>
      </c>
      <c r="B204" s="105">
        <f>+B199</f>
        <v>9</v>
      </c>
      <c r="C204">
        <f>+C202</f>
        <v>4</v>
      </c>
      <c r="D204" s="76">
        <f>+D188</f>
        <v>0.6</v>
      </c>
      <c r="E204" s="10"/>
      <c r="F204" s="10"/>
      <c r="G204" s="10">
        <f t="shared" si="11"/>
        <v>21.599999999999998</v>
      </c>
      <c r="H204" s="77"/>
    </row>
    <row r="205" spans="1:8" ht="15">
      <c r="A205" t="s">
        <v>337</v>
      </c>
      <c r="B205" s="105">
        <f>+B201</f>
        <v>8</v>
      </c>
      <c r="C205">
        <f>+C203</f>
        <v>4</v>
      </c>
      <c r="D205" s="76">
        <f>+D189</f>
        <v>1</v>
      </c>
      <c r="E205" s="10"/>
      <c r="F205" s="10"/>
      <c r="G205" s="10">
        <f t="shared" si="11"/>
        <v>32</v>
      </c>
      <c r="H205" s="77"/>
    </row>
    <row r="206" spans="1:8" ht="15">
      <c r="A206" t="s">
        <v>338</v>
      </c>
      <c r="B206" s="105">
        <f>+B202</f>
        <v>8</v>
      </c>
      <c r="C206">
        <f>+C204</f>
        <v>4</v>
      </c>
      <c r="D206" s="76">
        <f>+D190</f>
        <v>0.8</v>
      </c>
      <c r="E206" s="10"/>
      <c r="F206" s="10"/>
      <c r="G206" s="10">
        <f t="shared" si="11"/>
        <v>25.6</v>
      </c>
      <c r="H206" s="77"/>
    </row>
    <row r="207" spans="1:8" ht="15">
      <c r="A207" t="s">
        <v>357</v>
      </c>
      <c r="B207">
        <v>1</v>
      </c>
      <c r="C207">
        <v>1</v>
      </c>
      <c r="D207" s="116">
        <v>40</v>
      </c>
      <c r="E207" s="10"/>
      <c r="F207" s="10"/>
      <c r="G207" s="10">
        <f t="shared" si="11"/>
        <v>40</v>
      </c>
      <c r="H207" s="77"/>
    </row>
    <row r="208" spans="1:8" ht="15">
      <c r="A208" t="s">
        <v>340</v>
      </c>
      <c r="B208">
        <v>6</v>
      </c>
      <c r="C208">
        <v>1</v>
      </c>
      <c r="D208" s="76">
        <f>D192</f>
        <v>5.25</v>
      </c>
      <c r="E208" s="10"/>
      <c r="F208" s="10"/>
      <c r="G208" s="10">
        <f t="shared" si="11"/>
        <v>31.5</v>
      </c>
      <c r="H208" s="77"/>
    </row>
    <row r="209" spans="1:8" ht="15">
      <c r="A209" t="s">
        <v>341</v>
      </c>
      <c r="B209">
        <v>1</v>
      </c>
      <c r="C209">
        <v>1</v>
      </c>
      <c r="D209" s="76">
        <f>D193</f>
        <v>52</v>
      </c>
      <c r="E209" s="10"/>
      <c r="F209" s="10"/>
      <c r="G209" s="10">
        <f t="shared" si="11"/>
        <v>52</v>
      </c>
      <c r="H209" s="77"/>
    </row>
    <row r="210" spans="1:8" ht="15">
      <c r="A210" t="s">
        <v>342</v>
      </c>
      <c r="B210">
        <v>1</v>
      </c>
      <c r="C210">
        <v>1</v>
      </c>
      <c r="D210" s="76">
        <f>D194</f>
        <v>2.1</v>
      </c>
      <c r="E210" s="10"/>
      <c r="F210" s="10"/>
      <c r="G210" s="10">
        <f t="shared" si="11"/>
        <v>2.1</v>
      </c>
      <c r="H210" s="77"/>
    </row>
    <row r="211" spans="1:8" ht="15">
      <c r="A211" t="s">
        <v>358</v>
      </c>
      <c r="B211" s="105">
        <v>5</v>
      </c>
      <c r="C211">
        <f>+C206</f>
        <v>4</v>
      </c>
      <c r="D211" s="76">
        <f>+D155</f>
        <v>12.5</v>
      </c>
      <c r="E211" s="10"/>
      <c r="F211" s="10"/>
      <c r="G211" s="10">
        <f t="shared" si="11"/>
        <v>250</v>
      </c>
      <c r="H211" s="77"/>
    </row>
    <row r="212" spans="1:8" ht="15">
      <c r="A212" t="s">
        <v>359</v>
      </c>
      <c r="B212" s="105">
        <v>4</v>
      </c>
      <c r="C212">
        <f>+C211</f>
        <v>4</v>
      </c>
      <c r="D212" s="76">
        <v>30</v>
      </c>
      <c r="E212" s="10">
        <f>SUM(G197:G212)/J27</f>
        <v>31.8125</v>
      </c>
      <c r="F212" s="10">
        <f>SUM(G197:G212)</f>
        <v>1527</v>
      </c>
      <c r="G212" s="10">
        <f t="shared" si="11"/>
        <v>480</v>
      </c>
      <c r="H212" s="77"/>
    </row>
    <row r="213" spans="1:8" ht="15">
      <c r="A213" s="2"/>
      <c r="B213" s="105"/>
      <c r="D213" s="76"/>
      <c r="E213" s="10"/>
      <c r="F213" s="10"/>
      <c r="G213" s="10"/>
      <c r="H213" s="77"/>
    </row>
    <row r="214" spans="1:9" ht="15.75" thickBot="1">
      <c r="A214" s="106" t="s">
        <v>360</v>
      </c>
      <c r="B214" s="107"/>
      <c r="C214" s="106"/>
      <c r="D214" s="108"/>
      <c r="E214" s="109"/>
      <c r="F214" s="109"/>
      <c r="G214" s="109">
        <f>SUM(G136:G212)</f>
        <v>17940.699999999993</v>
      </c>
      <c r="H214" s="77">
        <f>+G214/48</f>
        <v>373.7645833333332</v>
      </c>
      <c r="I214">
        <v>17600</v>
      </c>
    </row>
    <row r="215" spans="1:8" ht="15">
      <c r="A215" s="93"/>
      <c r="B215" s="94"/>
      <c r="C215" s="93"/>
      <c r="D215" s="96"/>
      <c r="E215" s="95"/>
      <c r="F215" s="95"/>
      <c r="G215" s="95"/>
      <c r="H215" s="77"/>
    </row>
    <row r="216" spans="1:8" ht="15">
      <c r="A216" s="2" t="s">
        <v>489</v>
      </c>
      <c r="B216" s="56"/>
      <c r="C216" t="s">
        <v>80</v>
      </c>
      <c r="D216" s="76" t="s">
        <v>80</v>
      </c>
      <c r="E216" s="10"/>
      <c r="F216" s="10"/>
      <c r="G216" s="10"/>
      <c r="H216" s="77"/>
    </row>
    <row r="217" spans="1:8" ht="15">
      <c r="A217" s="120" t="s">
        <v>361</v>
      </c>
      <c r="B217" s="121">
        <v>1</v>
      </c>
      <c r="C217">
        <f>+C138</f>
        <v>2</v>
      </c>
      <c r="D217" s="76">
        <v>1500</v>
      </c>
      <c r="E217" s="10"/>
      <c r="F217" s="10"/>
      <c r="G217" s="10">
        <f>+B217*C217*D217</f>
        <v>3000</v>
      </c>
      <c r="H217" s="77"/>
    </row>
    <row r="218" spans="1:8" ht="15">
      <c r="A218" t="s">
        <v>362</v>
      </c>
      <c r="B218" s="121">
        <v>1</v>
      </c>
      <c r="C218">
        <f>+C158</f>
        <v>22</v>
      </c>
      <c r="D218" s="76">
        <v>1700</v>
      </c>
      <c r="E218" s="10"/>
      <c r="F218" s="10"/>
      <c r="G218" s="10">
        <f>+B218*C218*D218</f>
        <v>37400</v>
      </c>
      <c r="H218" s="77"/>
    </row>
    <row r="219" spans="1:8" ht="15">
      <c r="A219" t="s">
        <v>363</v>
      </c>
      <c r="B219" s="121">
        <v>1</v>
      </c>
      <c r="C219">
        <f>+C178</f>
        <v>24</v>
      </c>
      <c r="D219" s="76">
        <v>2000</v>
      </c>
      <c r="E219" s="10"/>
      <c r="F219" s="10"/>
      <c r="G219" s="10">
        <f>+B219*C219*D219</f>
        <v>48000</v>
      </c>
      <c r="H219" s="77"/>
    </row>
    <row r="220" spans="1:8" ht="15">
      <c r="A220" t="s">
        <v>364</v>
      </c>
      <c r="B220" s="121">
        <v>1</v>
      </c>
      <c r="C220">
        <v>1</v>
      </c>
      <c r="D220" s="76">
        <f>4375*0.8</f>
        <v>3500</v>
      </c>
      <c r="E220" s="10"/>
      <c r="F220" s="10"/>
      <c r="G220" s="10">
        <f>+B220*C220*D220</f>
        <v>3500</v>
      </c>
      <c r="H220" s="77"/>
    </row>
    <row r="221" spans="1:8" ht="15">
      <c r="A221" t="s">
        <v>365</v>
      </c>
      <c r="D221" s="76"/>
      <c r="E221" s="10"/>
      <c r="F221" s="10"/>
      <c r="G221" s="10">
        <f>+C221*D221</f>
        <v>0</v>
      </c>
      <c r="H221" s="77"/>
    </row>
    <row r="222" spans="1:8" ht="15">
      <c r="A222" t="s">
        <v>366</v>
      </c>
      <c r="D222" s="76"/>
      <c r="E222" s="10"/>
      <c r="F222" s="10"/>
      <c r="G222" s="10">
        <f>+C222*D222</f>
        <v>0</v>
      </c>
      <c r="H222" s="77"/>
    </row>
    <row r="223" spans="1:8" ht="15">
      <c r="A223" t="s">
        <v>367</v>
      </c>
      <c r="B223" s="105"/>
      <c r="D223" s="76"/>
      <c r="E223" s="10"/>
      <c r="F223" s="10"/>
      <c r="G223" s="10">
        <f>+C223*D223</f>
        <v>0</v>
      </c>
      <c r="H223" s="77"/>
    </row>
    <row r="224" spans="1:8" ht="15">
      <c r="A224" t="s">
        <v>368</v>
      </c>
      <c r="B224" s="105"/>
      <c r="D224" s="76"/>
      <c r="E224" s="10"/>
      <c r="F224" s="10"/>
      <c r="G224" s="10">
        <f>+C224*D224</f>
        <v>0</v>
      </c>
      <c r="H224" s="77"/>
    </row>
    <row r="225" spans="1:8" ht="15">
      <c r="A225" t="s">
        <v>369</v>
      </c>
      <c r="B225" s="105"/>
      <c r="D225" s="76"/>
      <c r="E225" s="10"/>
      <c r="F225" s="10"/>
      <c r="G225" s="10">
        <f>+C225*D225</f>
        <v>0</v>
      </c>
      <c r="H225" s="77"/>
    </row>
    <row r="226" spans="2:8" ht="15">
      <c r="B226" s="105"/>
      <c r="D226" s="76"/>
      <c r="E226" s="10"/>
      <c r="F226" s="10"/>
      <c r="G226" s="10"/>
      <c r="H226" s="77"/>
    </row>
    <row r="227" spans="1:10" ht="15.75" thickBot="1">
      <c r="A227" s="106" t="s">
        <v>370</v>
      </c>
      <c r="B227" s="107"/>
      <c r="C227" s="106"/>
      <c r="D227" s="108"/>
      <c r="E227" s="109"/>
      <c r="F227" s="109"/>
      <c r="G227" s="122">
        <f>SUM(G217:G225)</f>
        <v>91900</v>
      </c>
      <c r="H227" s="77">
        <f>+G227/48</f>
        <v>1914.5833333333333</v>
      </c>
      <c r="J227">
        <v>93600</v>
      </c>
    </row>
    <row r="228" spans="1:8" ht="15">
      <c r="A228" s="93"/>
      <c r="B228" s="94"/>
      <c r="C228" s="93"/>
      <c r="D228" s="96"/>
      <c r="E228" s="95"/>
      <c r="F228" s="95"/>
      <c r="H228" s="77"/>
    </row>
    <row r="229" spans="1:8" ht="15">
      <c r="A229" s="2" t="s">
        <v>371</v>
      </c>
      <c r="B229" s="56"/>
      <c r="D229" s="76"/>
      <c r="E229" s="10"/>
      <c r="F229" s="10"/>
      <c r="G229" s="10" t="s">
        <v>80</v>
      </c>
      <c r="H229" s="77"/>
    </row>
    <row r="230" spans="1:8" ht="15">
      <c r="A230" t="s">
        <v>372</v>
      </c>
      <c r="B230" s="105">
        <v>5</v>
      </c>
      <c r="C230">
        <v>48</v>
      </c>
      <c r="D230" s="116">
        <v>4.6</v>
      </c>
      <c r="E230" s="10"/>
      <c r="F230" s="10"/>
      <c r="G230" s="10">
        <f>+B230*C230*D230</f>
        <v>1104</v>
      </c>
      <c r="H230" s="77" t="s">
        <v>373</v>
      </c>
    </row>
    <row r="231" spans="1:8" ht="15">
      <c r="A231" t="s">
        <v>374</v>
      </c>
      <c r="B231" s="105">
        <v>6</v>
      </c>
      <c r="C231">
        <v>48</v>
      </c>
      <c r="D231" s="76">
        <v>1</v>
      </c>
      <c r="E231" s="10"/>
      <c r="F231" s="10"/>
      <c r="G231" s="10">
        <f aca="true" t="shared" si="12" ref="G231:G253">+B231*C231*D231</f>
        <v>288</v>
      </c>
      <c r="H231" s="77"/>
    </row>
    <row r="232" spans="1:8" ht="15">
      <c r="A232" t="s">
        <v>375</v>
      </c>
      <c r="B232" s="105">
        <v>1</v>
      </c>
      <c r="C232">
        <v>48</v>
      </c>
      <c r="D232" s="76">
        <v>10</v>
      </c>
      <c r="E232" s="10"/>
      <c r="F232" s="10"/>
      <c r="G232" s="10">
        <f t="shared" si="12"/>
        <v>480</v>
      </c>
      <c r="H232" s="77"/>
    </row>
    <row r="233" spans="1:8" ht="15">
      <c r="A233" t="s">
        <v>376</v>
      </c>
      <c r="B233" s="105">
        <v>3</v>
      </c>
      <c r="C233">
        <f>+C232</f>
        <v>48</v>
      </c>
      <c r="D233" s="76">
        <v>5</v>
      </c>
      <c r="E233" s="10"/>
      <c r="F233" s="10"/>
      <c r="G233" s="10">
        <f t="shared" si="12"/>
        <v>720</v>
      </c>
      <c r="H233" s="77"/>
    </row>
    <row r="234" spans="1:8" ht="15">
      <c r="A234" t="s">
        <v>377</v>
      </c>
      <c r="B234" s="105">
        <v>4</v>
      </c>
      <c r="C234">
        <f>+C233</f>
        <v>48</v>
      </c>
      <c r="D234" s="76">
        <v>5</v>
      </c>
      <c r="E234" s="10"/>
      <c r="F234" s="10"/>
      <c r="G234" s="10">
        <f t="shared" si="12"/>
        <v>960</v>
      </c>
      <c r="H234" s="77"/>
    </row>
    <row r="235" spans="1:8" ht="15">
      <c r="A235" t="s">
        <v>378</v>
      </c>
      <c r="B235" s="105">
        <v>1</v>
      </c>
      <c r="C235">
        <v>48</v>
      </c>
      <c r="D235" s="116">
        <v>1.6</v>
      </c>
      <c r="E235" s="10"/>
      <c r="F235" s="10"/>
      <c r="G235" s="10">
        <f t="shared" si="12"/>
        <v>76.80000000000001</v>
      </c>
      <c r="H235" s="77"/>
    </row>
    <row r="236" spans="1:8" ht="15">
      <c r="A236" s="78" t="s">
        <v>379</v>
      </c>
      <c r="B236" s="105">
        <v>4</v>
      </c>
      <c r="C236">
        <v>48</v>
      </c>
      <c r="D236" s="116">
        <v>1.25</v>
      </c>
      <c r="E236" s="10"/>
      <c r="F236" s="10"/>
      <c r="G236" s="10">
        <f t="shared" si="12"/>
        <v>240</v>
      </c>
      <c r="H236" s="77"/>
    </row>
    <row r="237" spans="1:8" ht="15">
      <c r="A237" t="s">
        <v>380</v>
      </c>
      <c r="B237" s="105">
        <v>1</v>
      </c>
      <c r="C237">
        <v>48</v>
      </c>
      <c r="D237" s="76">
        <v>50</v>
      </c>
      <c r="E237" s="10"/>
      <c r="F237" s="10"/>
      <c r="G237" s="10">
        <f t="shared" si="12"/>
        <v>2400</v>
      </c>
      <c r="H237" s="77"/>
    </row>
    <row r="238" spans="1:8" ht="15">
      <c r="A238" t="s">
        <v>490</v>
      </c>
      <c r="B238" s="105">
        <v>1</v>
      </c>
      <c r="C238">
        <v>48</v>
      </c>
      <c r="D238" s="76">
        <v>75</v>
      </c>
      <c r="E238" s="10"/>
      <c r="F238" s="10"/>
      <c r="G238" s="10">
        <f t="shared" si="12"/>
        <v>3600</v>
      </c>
      <c r="H238" s="77"/>
    </row>
    <row r="239" spans="1:8" ht="15">
      <c r="A239" t="s">
        <v>381</v>
      </c>
      <c r="B239" s="105">
        <v>1</v>
      </c>
      <c r="C239">
        <v>48</v>
      </c>
      <c r="D239" s="116">
        <v>26</v>
      </c>
      <c r="E239" s="10"/>
      <c r="F239" s="10"/>
      <c r="G239" s="10">
        <f t="shared" si="12"/>
        <v>1248</v>
      </c>
      <c r="H239" s="77"/>
    </row>
    <row r="240" spans="1:8" ht="15">
      <c r="A240" t="s">
        <v>382</v>
      </c>
      <c r="B240" s="105">
        <v>1</v>
      </c>
      <c r="C240">
        <v>48</v>
      </c>
      <c r="D240" s="116">
        <v>45</v>
      </c>
      <c r="E240" s="10"/>
      <c r="F240" s="10"/>
      <c r="G240" s="10">
        <f t="shared" si="12"/>
        <v>2160</v>
      </c>
      <c r="H240" s="77"/>
    </row>
    <row r="241" spans="1:8" ht="15">
      <c r="A241" t="s">
        <v>383</v>
      </c>
      <c r="B241" s="105">
        <v>1</v>
      </c>
      <c r="C241">
        <v>48</v>
      </c>
      <c r="D241" s="76">
        <v>30</v>
      </c>
      <c r="E241" s="10"/>
      <c r="F241" s="10"/>
      <c r="G241" s="10">
        <f t="shared" si="12"/>
        <v>1440</v>
      </c>
      <c r="H241" s="77"/>
    </row>
    <row r="242" spans="1:8" ht="15">
      <c r="A242" t="s">
        <v>384</v>
      </c>
      <c r="B242" s="105">
        <v>1</v>
      </c>
      <c r="C242">
        <v>48</v>
      </c>
      <c r="D242" s="116">
        <v>35</v>
      </c>
      <c r="E242" s="10"/>
      <c r="F242" s="10"/>
      <c r="G242" s="10">
        <f t="shared" si="12"/>
        <v>1680</v>
      </c>
      <c r="H242" s="77"/>
    </row>
    <row r="243" spans="5:8" ht="15">
      <c r="E243" s="10"/>
      <c r="F243" s="10"/>
      <c r="G243" s="10">
        <f t="shared" si="12"/>
        <v>0</v>
      </c>
      <c r="H243" s="77"/>
    </row>
    <row r="244" spans="1:8" ht="15">
      <c r="A244" t="s">
        <v>385</v>
      </c>
      <c r="B244" s="105">
        <f>+B230</f>
        <v>5</v>
      </c>
      <c r="C244">
        <v>4</v>
      </c>
      <c r="D244" s="76">
        <f>+D230</f>
        <v>4.6</v>
      </c>
      <c r="E244" s="10"/>
      <c r="F244" s="10"/>
      <c r="G244" s="10">
        <f t="shared" si="12"/>
        <v>92</v>
      </c>
      <c r="H244" s="77"/>
    </row>
    <row r="245" spans="1:8" ht="15">
      <c r="A245" t="s">
        <v>386</v>
      </c>
      <c r="B245" s="105">
        <f>+B231</f>
        <v>6</v>
      </c>
      <c r="C245">
        <f>+C244</f>
        <v>4</v>
      </c>
      <c r="D245" s="76">
        <f>+D231</f>
        <v>1</v>
      </c>
      <c r="E245" s="10"/>
      <c r="F245" s="10"/>
      <c r="G245" s="10">
        <f t="shared" si="12"/>
        <v>24</v>
      </c>
      <c r="H245" s="77"/>
    </row>
    <row r="246" spans="1:8" ht="15">
      <c r="A246" t="s">
        <v>387</v>
      </c>
      <c r="B246" s="105">
        <f>+B232</f>
        <v>1</v>
      </c>
      <c r="C246">
        <f>+C245</f>
        <v>4</v>
      </c>
      <c r="D246" s="76">
        <f>+D232</f>
        <v>10</v>
      </c>
      <c r="E246" s="10"/>
      <c r="F246" s="10"/>
      <c r="G246" s="10">
        <f t="shared" si="12"/>
        <v>40</v>
      </c>
      <c r="H246" s="77"/>
    </row>
    <row r="247" spans="1:9" ht="15">
      <c r="A247" t="s">
        <v>388</v>
      </c>
      <c r="B247" s="105">
        <v>1</v>
      </c>
      <c r="C247">
        <f>+C246</f>
        <v>4</v>
      </c>
      <c r="D247" s="76">
        <f>+D233</f>
        <v>5</v>
      </c>
      <c r="E247" s="76"/>
      <c r="F247" s="10"/>
      <c r="G247" s="10">
        <f t="shared" si="12"/>
        <v>20</v>
      </c>
      <c r="H247" s="10"/>
      <c r="I247" s="77"/>
    </row>
    <row r="248" spans="1:9" ht="15">
      <c r="A248" t="s">
        <v>389</v>
      </c>
      <c r="B248" s="105">
        <v>2</v>
      </c>
      <c r="C248">
        <v>4</v>
      </c>
      <c r="D248" s="76">
        <f>+D234</f>
        <v>5</v>
      </c>
      <c r="E248" s="76"/>
      <c r="F248" s="10"/>
      <c r="G248" s="10">
        <f t="shared" si="12"/>
        <v>40</v>
      </c>
      <c r="H248" s="10"/>
      <c r="I248" s="77"/>
    </row>
    <row r="249" spans="1:9" ht="15">
      <c r="A249" t="s">
        <v>390</v>
      </c>
      <c r="B249" s="105">
        <v>1</v>
      </c>
      <c r="C249">
        <v>4</v>
      </c>
      <c r="D249" s="76">
        <v>50</v>
      </c>
      <c r="E249" s="76"/>
      <c r="F249" s="10"/>
      <c r="G249" s="10">
        <f t="shared" si="12"/>
        <v>200</v>
      </c>
      <c r="H249" s="10"/>
      <c r="I249" s="77"/>
    </row>
    <row r="250" spans="1:9" ht="15">
      <c r="A250" t="s">
        <v>391</v>
      </c>
      <c r="B250">
        <v>1</v>
      </c>
      <c r="C250">
        <v>4</v>
      </c>
      <c r="D250" s="76">
        <v>25</v>
      </c>
      <c r="E250" s="76"/>
      <c r="F250" s="10"/>
      <c r="G250" s="10">
        <f t="shared" si="12"/>
        <v>100</v>
      </c>
      <c r="H250" s="10"/>
      <c r="I250" s="77"/>
    </row>
    <row r="251" spans="1:8" ht="15">
      <c r="A251" t="s">
        <v>392</v>
      </c>
      <c r="B251">
        <v>1</v>
      </c>
      <c r="C251">
        <v>4</v>
      </c>
      <c r="D251" s="10">
        <f>+D236</f>
        <v>1.25</v>
      </c>
      <c r="E251" s="10"/>
      <c r="F251" s="10"/>
      <c r="G251" s="10">
        <f t="shared" si="12"/>
        <v>5</v>
      </c>
      <c r="H251" s="77"/>
    </row>
    <row r="252" spans="1:8" ht="15">
      <c r="A252" t="s">
        <v>393</v>
      </c>
      <c r="B252">
        <v>20</v>
      </c>
      <c r="C252">
        <v>1</v>
      </c>
      <c r="D252" s="10">
        <f>+D244</f>
        <v>4.6</v>
      </c>
      <c r="E252" s="10"/>
      <c r="F252" s="10"/>
      <c r="G252" s="10">
        <f t="shared" si="12"/>
        <v>92</v>
      </c>
      <c r="H252" s="77"/>
    </row>
    <row r="253" spans="1:8" ht="15">
      <c r="A253" t="s">
        <v>394</v>
      </c>
      <c r="B253">
        <v>3</v>
      </c>
      <c r="C253">
        <v>1</v>
      </c>
      <c r="D253" s="10">
        <f>+D237</f>
        <v>50</v>
      </c>
      <c r="E253" s="10"/>
      <c r="F253" s="10"/>
      <c r="G253" s="10">
        <f t="shared" si="12"/>
        <v>150</v>
      </c>
      <c r="H253" s="77"/>
    </row>
    <row r="254" spans="4:8" ht="15">
      <c r="D254" s="10"/>
      <c r="E254" s="10"/>
      <c r="F254" s="10"/>
      <c r="G254" s="10"/>
      <c r="H254" s="77"/>
    </row>
    <row r="255" spans="1:8" ht="15.75" thickBot="1">
      <c r="A255" s="106" t="s">
        <v>395</v>
      </c>
      <c r="B255" s="107"/>
      <c r="C255" s="106"/>
      <c r="D255" s="108"/>
      <c r="E255" s="109"/>
      <c r="F255" s="109"/>
      <c r="G255" s="109">
        <f>SUM(G230:G254)</f>
        <v>17159.8</v>
      </c>
      <c r="H255" s="77">
        <f>+G255/48</f>
        <v>357.49583333333334</v>
      </c>
    </row>
    <row r="256" spans="1:8" ht="15">
      <c r="A256" s="93"/>
      <c r="B256" s="94"/>
      <c r="C256" s="93"/>
      <c r="D256" s="96"/>
      <c r="E256" s="95"/>
      <c r="F256" s="95"/>
      <c r="H256" s="77"/>
    </row>
    <row r="257" spans="1:8" ht="15">
      <c r="A257" s="2" t="s">
        <v>396</v>
      </c>
      <c r="B257" s="105"/>
      <c r="D257" s="76"/>
      <c r="E257" s="10"/>
      <c r="F257" s="10"/>
      <c r="G257" s="10" t="s">
        <v>80</v>
      </c>
      <c r="H257" s="77"/>
    </row>
    <row r="258" spans="1:8" ht="15">
      <c r="A258" t="s">
        <v>397</v>
      </c>
      <c r="B258" s="105">
        <v>165</v>
      </c>
      <c r="C258">
        <v>48</v>
      </c>
      <c r="D258" s="76">
        <v>165</v>
      </c>
      <c r="E258" s="10"/>
      <c r="F258" s="10"/>
      <c r="G258" s="10">
        <f aca="true" t="shared" si="13" ref="G258:G265">+C258*D258</f>
        <v>7920</v>
      </c>
      <c r="H258" s="77"/>
    </row>
    <row r="259" spans="1:8" ht="15">
      <c r="A259" t="s">
        <v>398</v>
      </c>
      <c r="B259" t="s">
        <v>399</v>
      </c>
      <c r="C259">
        <v>48</v>
      </c>
      <c r="D259" s="76">
        <v>300</v>
      </c>
      <c r="E259" s="10"/>
      <c r="F259" s="10"/>
      <c r="G259" s="10">
        <f t="shared" si="13"/>
        <v>14400</v>
      </c>
      <c r="H259" s="77"/>
    </row>
    <row r="260" spans="1:8" ht="15">
      <c r="A260" t="s">
        <v>400</v>
      </c>
      <c r="B260" s="105"/>
      <c r="C260">
        <v>48</v>
      </c>
      <c r="D260" s="76">
        <v>150</v>
      </c>
      <c r="E260" s="10"/>
      <c r="F260" s="10"/>
      <c r="G260" s="10">
        <f t="shared" si="13"/>
        <v>7200</v>
      </c>
      <c r="H260" s="77"/>
    </row>
    <row r="261" spans="1:8" ht="15">
      <c r="A261" t="s">
        <v>401</v>
      </c>
      <c r="B261" s="105"/>
      <c r="C261">
        <v>48</v>
      </c>
      <c r="D261" s="76">
        <v>75</v>
      </c>
      <c r="E261" s="10"/>
      <c r="F261" s="10"/>
      <c r="G261" s="10">
        <f t="shared" si="13"/>
        <v>3600</v>
      </c>
      <c r="H261" s="77"/>
    </row>
    <row r="262" spans="1:8" ht="15">
      <c r="A262" t="s">
        <v>402</v>
      </c>
      <c r="B262" s="105"/>
      <c r="C262">
        <v>48</v>
      </c>
      <c r="D262" s="76">
        <v>75</v>
      </c>
      <c r="E262" s="10"/>
      <c r="F262" s="10"/>
      <c r="G262" s="10">
        <f t="shared" si="13"/>
        <v>3600</v>
      </c>
      <c r="H262" s="77"/>
    </row>
    <row r="263" spans="1:8" ht="15">
      <c r="A263" t="s">
        <v>403</v>
      </c>
      <c r="B263" s="123" t="s">
        <v>404</v>
      </c>
      <c r="C263">
        <v>48</v>
      </c>
      <c r="D263" s="116">
        <v>26</v>
      </c>
      <c r="E263" s="10"/>
      <c r="F263" s="10"/>
      <c r="G263" s="10">
        <f t="shared" si="13"/>
        <v>1248</v>
      </c>
      <c r="H263" s="77"/>
    </row>
    <row r="264" spans="1:8" ht="15">
      <c r="A264" t="s">
        <v>405</v>
      </c>
      <c r="B264" s="64"/>
      <c r="C264" s="64">
        <v>48</v>
      </c>
      <c r="D264" s="116">
        <v>1.55</v>
      </c>
      <c r="E264" s="10"/>
      <c r="F264" s="10"/>
      <c r="G264" s="10">
        <f t="shared" si="13"/>
        <v>74.4</v>
      </c>
      <c r="H264" s="77"/>
    </row>
    <row r="265" spans="1:8" ht="15">
      <c r="A265" s="123" t="s">
        <v>406</v>
      </c>
      <c r="B265" s="105">
        <v>50</v>
      </c>
      <c r="C265">
        <v>48</v>
      </c>
      <c r="D265" s="76">
        <v>35</v>
      </c>
      <c r="E265" s="10"/>
      <c r="F265" s="10"/>
      <c r="G265" s="10">
        <f t="shared" si="13"/>
        <v>1680</v>
      </c>
      <c r="H265" s="77"/>
    </row>
    <row r="266" spans="2:8" ht="15">
      <c r="B266" s="105"/>
      <c r="D266" s="76"/>
      <c r="E266" s="10"/>
      <c r="F266" s="10"/>
      <c r="H266" s="77"/>
    </row>
    <row r="267" spans="1:8" ht="15.75" thickBot="1">
      <c r="A267" s="106" t="s">
        <v>407</v>
      </c>
      <c r="B267" s="107"/>
      <c r="C267" s="106"/>
      <c r="D267" s="108"/>
      <c r="E267" s="109"/>
      <c r="F267" s="109"/>
      <c r="G267" s="109">
        <f>SUM(G258:G265)</f>
        <v>39722.4</v>
      </c>
      <c r="H267" s="77">
        <f>+G267/48</f>
        <v>827.5500000000001</v>
      </c>
    </row>
    <row r="268" spans="1:8" ht="15">
      <c r="A268" t="s">
        <v>80</v>
      </c>
      <c r="B268" s="105"/>
      <c r="D268" s="76"/>
      <c r="E268" s="10"/>
      <c r="F268" s="10"/>
      <c r="H268" s="77"/>
    </row>
    <row r="269" spans="1:8" ht="15">
      <c r="A269" s="2" t="s">
        <v>408</v>
      </c>
      <c r="B269" s="105"/>
      <c r="D269" s="76"/>
      <c r="E269" s="10"/>
      <c r="F269" s="10"/>
      <c r="H269" s="77"/>
    </row>
    <row r="270" spans="1:8" ht="15">
      <c r="A270" s="120" t="s">
        <v>409</v>
      </c>
      <c r="B270" s="105">
        <f>20*20</f>
        <v>400</v>
      </c>
      <c r="C270">
        <f>+C138</f>
        <v>2</v>
      </c>
      <c r="D270" s="76">
        <v>1</v>
      </c>
      <c r="E270" s="10"/>
      <c r="F270" s="10"/>
      <c r="G270" s="77">
        <f>+B270*C270*D270</f>
        <v>800</v>
      </c>
      <c r="H270" s="77"/>
    </row>
    <row r="271" spans="1:8" ht="15">
      <c r="A271" s="120" t="s">
        <v>410</v>
      </c>
      <c r="B271" s="105">
        <v>1</v>
      </c>
      <c r="C271">
        <f>+C139</f>
        <v>2</v>
      </c>
      <c r="D271" s="76">
        <v>125</v>
      </c>
      <c r="E271" s="10"/>
      <c r="F271" s="10"/>
      <c r="G271" s="77">
        <f aca="true" t="shared" si="14" ref="G271:G282">+B271*C271*D271</f>
        <v>250</v>
      </c>
      <c r="H271" s="77"/>
    </row>
    <row r="272" spans="1:10" ht="15">
      <c r="A272" t="s">
        <v>411</v>
      </c>
      <c r="B272" s="105">
        <v>6</v>
      </c>
      <c r="C272">
        <f>+C140</f>
        <v>2</v>
      </c>
      <c r="D272" s="116">
        <v>6.2</v>
      </c>
      <c r="E272" s="10"/>
      <c r="F272" s="10"/>
      <c r="G272" s="77">
        <f t="shared" si="14"/>
        <v>74.4</v>
      </c>
      <c r="H272" s="77" t="s">
        <v>412</v>
      </c>
      <c r="J272">
        <f>31/5</f>
        <v>6.2</v>
      </c>
    </row>
    <row r="273" spans="1:8" ht="15">
      <c r="A273" t="s">
        <v>413</v>
      </c>
      <c r="B273" s="105">
        <f>20*25</f>
        <v>500</v>
      </c>
      <c r="C273">
        <f>+C158</f>
        <v>22</v>
      </c>
      <c r="D273" s="76">
        <v>1</v>
      </c>
      <c r="E273" s="10"/>
      <c r="F273" s="10"/>
      <c r="G273" s="77">
        <f t="shared" si="14"/>
        <v>11000</v>
      </c>
      <c r="H273" s="77"/>
    </row>
    <row r="274" spans="1:8" ht="15">
      <c r="A274" t="s">
        <v>414</v>
      </c>
      <c r="B274" s="105">
        <f>+B271</f>
        <v>1</v>
      </c>
      <c r="C274">
        <f>+C159</f>
        <v>22</v>
      </c>
      <c r="D274" s="76">
        <v>125</v>
      </c>
      <c r="E274" s="10"/>
      <c r="F274" s="10"/>
      <c r="G274" s="77">
        <f t="shared" si="14"/>
        <v>2750</v>
      </c>
      <c r="H274" s="77"/>
    </row>
    <row r="275" spans="1:8" ht="15">
      <c r="A275" t="s">
        <v>415</v>
      </c>
      <c r="B275" s="105">
        <v>8</v>
      </c>
      <c r="C275">
        <f>+C160</f>
        <v>22</v>
      </c>
      <c r="D275" s="76">
        <f>+D272</f>
        <v>6.2</v>
      </c>
      <c r="E275" s="10"/>
      <c r="F275" s="10"/>
      <c r="G275" s="77">
        <f t="shared" si="14"/>
        <v>1091.2</v>
      </c>
      <c r="H275" s="77"/>
    </row>
    <row r="276" spans="1:8" ht="15">
      <c r="A276" t="s">
        <v>416</v>
      </c>
      <c r="B276" s="105">
        <f>30*20</f>
        <v>600</v>
      </c>
      <c r="C276">
        <f>+C178</f>
        <v>24</v>
      </c>
      <c r="D276" s="76">
        <v>1</v>
      </c>
      <c r="E276" s="10"/>
      <c r="F276" s="10"/>
      <c r="G276" s="77">
        <f t="shared" si="14"/>
        <v>14400</v>
      </c>
      <c r="H276" s="77"/>
    </row>
    <row r="277" spans="1:8" ht="15">
      <c r="A277" t="s">
        <v>417</v>
      </c>
      <c r="B277" s="105">
        <f>+B271</f>
        <v>1</v>
      </c>
      <c r="C277">
        <f>+C179</f>
        <v>24</v>
      </c>
      <c r="D277" s="76">
        <v>125</v>
      </c>
      <c r="E277" s="10"/>
      <c r="F277" s="10"/>
      <c r="G277" s="77">
        <f t="shared" si="14"/>
        <v>3000</v>
      </c>
      <c r="H277" s="77"/>
    </row>
    <row r="278" spans="1:8" ht="15">
      <c r="A278" t="s">
        <v>418</v>
      </c>
      <c r="B278" s="105">
        <v>10</v>
      </c>
      <c r="C278">
        <f>+C180</f>
        <v>24</v>
      </c>
      <c r="D278" s="76">
        <f>+D272</f>
        <v>6.2</v>
      </c>
      <c r="E278" s="10"/>
      <c r="F278" s="10"/>
      <c r="G278" s="77">
        <f t="shared" si="14"/>
        <v>1488</v>
      </c>
      <c r="H278" s="77"/>
    </row>
    <row r="279" spans="1:8" ht="15">
      <c r="A279" s="2"/>
      <c r="B279" s="105"/>
      <c r="D279" s="76"/>
      <c r="E279" s="10"/>
      <c r="F279" s="10"/>
      <c r="G279" s="77">
        <f t="shared" si="14"/>
        <v>0</v>
      </c>
      <c r="H279" s="77"/>
    </row>
    <row r="280" spans="1:8" ht="15">
      <c r="A280" s="120" t="s">
        <v>419</v>
      </c>
      <c r="B280" s="105">
        <f>(6*126)+(6*30)+(6*25)</f>
        <v>1086</v>
      </c>
      <c r="C280">
        <v>4</v>
      </c>
      <c r="D280" s="76">
        <f>+D270</f>
        <v>1</v>
      </c>
      <c r="E280" s="10"/>
      <c r="F280" s="10"/>
      <c r="G280" s="77">
        <f t="shared" si="14"/>
        <v>4344</v>
      </c>
      <c r="H280" s="77"/>
    </row>
    <row r="281" spans="1:8" ht="15">
      <c r="A281" t="s">
        <v>420</v>
      </c>
      <c r="B281" s="105">
        <v>2</v>
      </c>
      <c r="C281">
        <f>+C280</f>
        <v>4</v>
      </c>
      <c r="D281" s="76">
        <f>+D271</f>
        <v>125</v>
      </c>
      <c r="E281" s="10"/>
      <c r="F281" s="10"/>
      <c r="G281" s="77">
        <f t="shared" si="14"/>
        <v>1000</v>
      </c>
      <c r="H281" s="77"/>
    </row>
    <row r="282" spans="1:8" ht="15">
      <c r="A282" t="s">
        <v>421</v>
      </c>
      <c r="B282" s="105">
        <v>10</v>
      </c>
      <c r="C282">
        <f>+C281</f>
        <v>4</v>
      </c>
      <c r="D282" s="76">
        <f>+D278</f>
        <v>6.2</v>
      </c>
      <c r="E282" s="10"/>
      <c r="F282" s="10"/>
      <c r="G282" s="77">
        <f t="shared" si="14"/>
        <v>248</v>
      </c>
      <c r="H282" s="77"/>
    </row>
    <row r="283" spans="2:8" ht="15">
      <c r="B283" s="105"/>
      <c r="D283" s="76"/>
      <c r="E283" s="10"/>
      <c r="F283" s="10"/>
      <c r="H283" s="77"/>
    </row>
    <row r="284" spans="1:9" ht="15.75" thickBot="1">
      <c r="A284" s="106" t="s">
        <v>422</v>
      </c>
      <c r="B284" s="107"/>
      <c r="C284" s="106"/>
      <c r="D284" s="108"/>
      <c r="E284" s="109"/>
      <c r="F284" s="109"/>
      <c r="G284" s="109">
        <f>SUM(G270:G282)</f>
        <v>40445.6</v>
      </c>
      <c r="H284" s="77">
        <f>+G284/48</f>
        <v>842.6166666666667</v>
      </c>
      <c r="I284">
        <v>56344</v>
      </c>
    </row>
    <row r="285" spans="2:8" ht="15">
      <c r="B285" s="105"/>
      <c r="D285" s="76"/>
      <c r="E285" s="10"/>
      <c r="F285" s="10"/>
      <c r="H285" s="77"/>
    </row>
    <row r="286" spans="1:8" ht="15">
      <c r="A286" s="2" t="s">
        <v>423</v>
      </c>
      <c r="B286" s="105"/>
      <c r="D286" s="76"/>
      <c r="E286" s="10"/>
      <c r="F286" s="10"/>
      <c r="H286" s="77"/>
    </row>
    <row r="287" spans="1:8" ht="15">
      <c r="A287" t="s">
        <v>424</v>
      </c>
      <c r="B287" s="105">
        <f>8*5</f>
        <v>40</v>
      </c>
      <c r="C287">
        <v>1</v>
      </c>
      <c r="D287" s="76">
        <f>+D272</f>
        <v>6.2</v>
      </c>
      <c r="E287" s="10"/>
      <c r="F287" s="10"/>
      <c r="G287" s="77">
        <f>+B287*C287*D287</f>
        <v>248</v>
      </c>
      <c r="H287" s="77"/>
    </row>
    <row r="288" spans="1:8" ht="15">
      <c r="A288" t="s">
        <v>425</v>
      </c>
      <c r="B288" s="105">
        <v>1</v>
      </c>
      <c r="C288">
        <v>1</v>
      </c>
      <c r="D288" s="76">
        <v>2000</v>
      </c>
      <c r="E288" s="10"/>
      <c r="F288" s="10"/>
      <c r="G288" s="77">
        <f>+B288*C288*D288</f>
        <v>2000</v>
      </c>
      <c r="H288" s="77"/>
    </row>
    <row r="289" spans="2:8" ht="15">
      <c r="B289" s="105"/>
      <c r="D289" s="76"/>
      <c r="E289" s="10"/>
      <c r="F289" s="10"/>
      <c r="H289" s="77"/>
    </row>
    <row r="290" spans="1:8" ht="15.75" thickBot="1">
      <c r="A290" s="106" t="s">
        <v>426</v>
      </c>
      <c r="B290" s="107"/>
      <c r="C290" s="106"/>
      <c r="D290" s="108"/>
      <c r="E290" s="109"/>
      <c r="F290" s="109"/>
      <c r="G290" s="109">
        <f>SUM(G287:G288)</f>
        <v>2248</v>
      </c>
      <c r="H290" s="77">
        <f>+G290/48</f>
        <v>46.833333333333336</v>
      </c>
    </row>
    <row r="291" spans="1:8" ht="15">
      <c r="A291" s="97"/>
      <c r="B291" s="98"/>
      <c r="C291" s="97"/>
      <c r="D291" s="101"/>
      <c r="E291" s="100"/>
      <c r="F291" s="100"/>
      <c r="G291" s="100"/>
      <c r="H291" s="77"/>
    </row>
    <row r="292" spans="1:8" ht="15">
      <c r="A292" s="93" t="s">
        <v>427</v>
      </c>
      <c r="B292" s="98"/>
      <c r="C292" s="97"/>
      <c r="D292" s="101"/>
      <c r="E292" s="100"/>
      <c r="F292" s="100"/>
      <c r="G292" s="100">
        <v>25000</v>
      </c>
      <c r="H292" s="77"/>
    </row>
    <row r="293" spans="1:8" ht="15">
      <c r="A293" s="97" t="s">
        <v>428</v>
      </c>
      <c r="B293" s="98"/>
      <c r="C293" s="97"/>
      <c r="D293" s="101"/>
      <c r="E293" s="100"/>
      <c r="F293" s="100"/>
      <c r="G293" s="100" t="s">
        <v>80</v>
      </c>
      <c r="H293" s="77"/>
    </row>
    <row r="294" spans="1:8" ht="15">
      <c r="A294" s="97" t="s">
        <v>429</v>
      </c>
      <c r="B294" s="98"/>
      <c r="C294" s="97"/>
      <c r="D294" s="101"/>
      <c r="E294" s="100"/>
      <c r="F294" s="100"/>
      <c r="G294" s="100"/>
      <c r="H294" s="77"/>
    </row>
    <row r="295" spans="1:8" ht="15">
      <c r="A295" s="97" t="s">
        <v>430</v>
      </c>
      <c r="B295" s="98"/>
      <c r="C295" s="97"/>
      <c r="D295" s="101"/>
      <c r="E295" s="100"/>
      <c r="F295" s="100"/>
      <c r="G295" s="100"/>
      <c r="H295" s="77"/>
    </row>
    <row r="296" spans="1:8" ht="15">
      <c r="A296" s="97" t="s">
        <v>431</v>
      </c>
      <c r="B296" s="98"/>
      <c r="C296" s="97"/>
      <c r="D296" s="101"/>
      <c r="E296" s="100"/>
      <c r="F296" s="100"/>
      <c r="G296" s="100"/>
      <c r="H296" s="77"/>
    </row>
    <row r="297" spans="1:8" ht="15">
      <c r="A297" s="97"/>
      <c r="B297" s="98"/>
      <c r="C297" s="97"/>
      <c r="D297" s="101"/>
      <c r="E297" s="100"/>
      <c r="F297" s="100"/>
      <c r="G297" s="100"/>
      <c r="H297" s="77"/>
    </row>
    <row r="298" spans="1:8" ht="15.75" thickBot="1">
      <c r="A298" s="106" t="s">
        <v>432</v>
      </c>
      <c r="B298" s="107"/>
      <c r="C298" s="106"/>
      <c r="D298" s="108"/>
      <c r="E298" s="109"/>
      <c r="F298" s="109"/>
      <c r="G298" s="109">
        <f>+G292</f>
        <v>25000</v>
      </c>
      <c r="H298" s="77"/>
    </row>
    <row r="299" spans="2:8" ht="15">
      <c r="B299" s="105"/>
      <c r="D299" s="76"/>
      <c r="E299" s="10"/>
      <c r="F299" s="10"/>
      <c r="H299" s="77"/>
    </row>
    <row r="300" spans="1:8" ht="15">
      <c r="A300" s="2" t="s">
        <v>433</v>
      </c>
      <c r="B300" s="105"/>
      <c r="D300" s="76"/>
      <c r="E300" s="10"/>
      <c r="F300" s="10"/>
      <c r="G300" s="113"/>
      <c r="H300" s="77"/>
    </row>
    <row r="301" spans="1:8" ht="15">
      <c r="A301" t="s">
        <v>434</v>
      </c>
      <c r="B301" s="105"/>
      <c r="C301">
        <v>4</v>
      </c>
      <c r="D301" s="76">
        <v>5000</v>
      </c>
      <c r="E301" s="10"/>
      <c r="F301" s="10"/>
      <c r="G301" s="10">
        <f>+C301*D301</f>
        <v>20000</v>
      </c>
      <c r="H301" s="77"/>
    </row>
    <row r="302" spans="1:8" ht="15">
      <c r="A302" t="s">
        <v>435</v>
      </c>
      <c r="B302" s="105"/>
      <c r="C302">
        <v>4</v>
      </c>
      <c r="D302" s="76">
        <v>1500</v>
      </c>
      <c r="E302" s="10"/>
      <c r="F302" s="10"/>
      <c r="G302" s="10">
        <f>+C302*D302</f>
        <v>6000</v>
      </c>
      <c r="H302" s="77"/>
    </row>
    <row r="303" spans="1:8" ht="15">
      <c r="A303" t="s">
        <v>436</v>
      </c>
      <c r="B303" s="105"/>
      <c r="C303">
        <v>1</v>
      </c>
      <c r="D303" s="76">
        <v>25000</v>
      </c>
      <c r="E303" s="10"/>
      <c r="F303" s="10"/>
      <c r="G303" s="10">
        <f>+C303*D303</f>
        <v>25000</v>
      </c>
      <c r="H303" s="77"/>
    </row>
    <row r="304" spans="1:8" ht="15">
      <c r="A304" t="s">
        <v>437</v>
      </c>
      <c r="B304" s="105"/>
      <c r="C304">
        <v>4</v>
      </c>
      <c r="D304" s="76">
        <v>5000</v>
      </c>
      <c r="E304" s="10"/>
      <c r="F304" s="10"/>
      <c r="G304" s="10">
        <f>+C304*D304</f>
        <v>20000</v>
      </c>
      <c r="H304" s="77"/>
    </row>
    <row r="305" spans="1:8" ht="15">
      <c r="A305" t="s">
        <v>438</v>
      </c>
      <c r="B305" s="10">
        <f>61*126</f>
        <v>7686</v>
      </c>
      <c r="C305">
        <f>42*6*1.1</f>
        <v>277.20000000000005</v>
      </c>
      <c r="D305" s="76">
        <v>28</v>
      </c>
      <c r="E305" s="10"/>
      <c r="G305" s="10">
        <f>+C305*D305</f>
        <v>7761.600000000001</v>
      </c>
      <c r="H305" s="77"/>
    </row>
    <row r="306" spans="1:8" ht="15">
      <c r="A306" t="s">
        <v>439</v>
      </c>
      <c r="B306" s="105">
        <v>28</v>
      </c>
      <c r="D306" s="76"/>
      <c r="E306" s="10"/>
      <c r="F306" s="10"/>
      <c r="G306" s="10">
        <f aca="true" t="shared" si="15" ref="G306:G320">+C306*D306</f>
        <v>0</v>
      </c>
      <c r="H306" s="77"/>
    </row>
    <row r="307" spans="1:8" ht="15">
      <c r="A307" t="s">
        <v>440</v>
      </c>
      <c r="B307" s="105"/>
      <c r="C307">
        <v>1</v>
      </c>
      <c r="D307" s="76">
        <v>500</v>
      </c>
      <c r="E307" s="10"/>
      <c r="F307" s="10"/>
      <c r="G307" s="10">
        <f t="shared" si="15"/>
        <v>500</v>
      </c>
      <c r="H307" s="77"/>
    </row>
    <row r="308" spans="1:8" ht="15">
      <c r="A308" t="s">
        <v>441</v>
      </c>
      <c r="B308" s="105"/>
      <c r="C308">
        <v>1</v>
      </c>
      <c r="D308" s="76">
        <v>5000</v>
      </c>
      <c r="E308" s="10"/>
      <c r="F308" s="10"/>
      <c r="G308" s="10">
        <f t="shared" si="15"/>
        <v>5000</v>
      </c>
      <c r="H308" s="77"/>
    </row>
    <row r="309" spans="1:8" ht="15">
      <c r="A309" t="s">
        <v>442</v>
      </c>
      <c r="B309" s="105"/>
      <c r="C309">
        <v>1</v>
      </c>
      <c r="D309" s="76">
        <v>500</v>
      </c>
      <c r="E309" s="10"/>
      <c r="F309" s="10"/>
      <c r="G309" s="10">
        <f t="shared" si="15"/>
        <v>500</v>
      </c>
      <c r="H309" s="77"/>
    </row>
    <row r="310" spans="1:8" ht="15">
      <c r="A310" t="s">
        <v>443</v>
      </c>
      <c r="B310" s="105"/>
      <c r="C310">
        <v>2</v>
      </c>
      <c r="D310" s="76">
        <f>+D315</f>
        <v>425</v>
      </c>
      <c r="E310" s="10"/>
      <c r="F310" s="10"/>
      <c r="G310" s="10">
        <f t="shared" si="15"/>
        <v>850</v>
      </c>
      <c r="H310" s="77"/>
    </row>
    <row r="311" spans="1:8" ht="15">
      <c r="A311" t="s">
        <v>444</v>
      </c>
      <c r="B311" s="105"/>
      <c r="C311">
        <v>48</v>
      </c>
      <c r="D311" s="76">
        <v>750</v>
      </c>
      <c r="E311" s="10"/>
      <c r="F311" s="10"/>
      <c r="G311" s="10">
        <f t="shared" si="15"/>
        <v>36000</v>
      </c>
      <c r="H311" s="77">
        <f>+G311*225</f>
        <v>8100000</v>
      </c>
    </row>
    <row r="312" spans="1:8" ht="15">
      <c r="A312" t="s">
        <v>445</v>
      </c>
      <c r="B312" s="105"/>
      <c r="C312">
        <v>1</v>
      </c>
      <c r="D312" s="76">
        <v>10000</v>
      </c>
      <c r="E312" s="10"/>
      <c r="F312" s="10"/>
      <c r="G312" s="10">
        <f t="shared" si="15"/>
        <v>10000</v>
      </c>
      <c r="H312" s="77"/>
    </row>
    <row r="313" spans="1:8" ht="15">
      <c r="A313" t="s">
        <v>446</v>
      </c>
      <c r="B313" s="105"/>
      <c r="C313" s="10">
        <f>+J47</f>
        <v>0.2293801652892562</v>
      </c>
      <c r="D313" s="76">
        <v>50000</v>
      </c>
      <c r="E313" s="10"/>
      <c r="F313" s="10"/>
      <c r="G313" s="10">
        <f t="shared" si="15"/>
        <v>11469.00826446281</v>
      </c>
      <c r="H313" s="77">
        <f>+G313*225</f>
        <v>2580526.859504132</v>
      </c>
    </row>
    <row r="314" spans="1:8" ht="15">
      <c r="A314" t="s">
        <v>447</v>
      </c>
      <c r="B314" s="105"/>
      <c r="C314" s="30">
        <v>4</v>
      </c>
      <c r="D314" s="76">
        <v>1000</v>
      </c>
      <c r="E314" s="10"/>
      <c r="F314" s="10"/>
      <c r="G314" s="10">
        <f t="shared" si="15"/>
        <v>4000</v>
      </c>
      <c r="H314" s="77"/>
    </row>
    <row r="315" spans="1:8" ht="15">
      <c r="A315" t="s">
        <v>448</v>
      </c>
      <c r="B315" s="105"/>
      <c r="C315" s="30">
        <v>2</v>
      </c>
      <c r="D315" s="116">
        <v>425</v>
      </c>
      <c r="E315" s="10"/>
      <c r="F315" s="10"/>
      <c r="G315" s="10">
        <f t="shared" si="15"/>
        <v>850</v>
      </c>
      <c r="H315" s="77"/>
    </row>
    <row r="316" spans="1:8" ht="15">
      <c r="A316" t="s">
        <v>449</v>
      </c>
      <c r="B316" s="105"/>
      <c r="C316" s="30">
        <v>1</v>
      </c>
      <c r="D316" s="76">
        <v>2500</v>
      </c>
      <c r="E316" s="10"/>
      <c r="F316" s="10"/>
      <c r="G316" s="10">
        <f t="shared" si="15"/>
        <v>2500</v>
      </c>
      <c r="H316" s="77"/>
    </row>
    <row r="317" spans="1:8" ht="15">
      <c r="A317" t="s">
        <v>450</v>
      </c>
      <c r="B317" s="105"/>
      <c r="C317" s="30">
        <v>2</v>
      </c>
      <c r="D317" s="116">
        <v>260</v>
      </c>
      <c r="E317" s="10"/>
      <c r="F317" s="10"/>
      <c r="G317" s="10">
        <f t="shared" si="15"/>
        <v>520</v>
      </c>
      <c r="H317" s="77"/>
    </row>
    <row r="318" spans="1:8" ht="15">
      <c r="A318" t="s">
        <v>451</v>
      </c>
      <c r="B318" s="105"/>
      <c r="C318" s="30">
        <v>2</v>
      </c>
      <c r="D318" s="76">
        <v>500</v>
      </c>
      <c r="E318" s="10"/>
      <c r="F318" s="10"/>
      <c r="G318" s="10">
        <f t="shared" si="15"/>
        <v>1000</v>
      </c>
      <c r="H318" s="77"/>
    </row>
    <row r="319" spans="1:8" ht="15">
      <c r="A319" t="s">
        <v>452</v>
      </c>
      <c r="B319" s="105"/>
      <c r="C319" s="30">
        <v>1</v>
      </c>
      <c r="D319" s="76">
        <v>5000</v>
      </c>
      <c r="E319" s="10"/>
      <c r="F319" s="10"/>
      <c r="G319" s="10">
        <f t="shared" si="15"/>
        <v>5000</v>
      </c>
      <c r="H319" s="77"/>
    </row>
    <row r="320" spans="1:8" ht="15">
      <c r="A320" t="s">
        <v>196</v>
      </c>
      <c r="B320" s="105"/>
      <c r="C320" s="30">
        <v>1</v>
      </c>
      <c r="D320" s="76">
        <f>30255.09-3600</f>
        <v>26655.09</v>
      </c>
      <c r="E320" s="10"/>
      <c r="F320" s="10"/>
      <c r="G320" s="10">
        <f t="shared" si="15"/>
        <v>26655.09</v>
      </c>
      <c r="H320" s="77" t="s">
        <v>80</v>
      </c>
    </row>
    <row r="321" spans="1:8" ht="15">
      <c r="A321" t="s">
        <v>80</v>
      </c>
      <c r="B321" s="105"/>
      <c r="D321" s="76"/>
      <c r="E321" s="10"/>
      <c r="F321" s="10"/>
      <c r="H321" s="77"/>
    </row>
    <row r="322" spans="1:8" ht="15.75" thickBot="1">
      <c r="A322" s="124" t="s">
        <v>453</v>
      </c>
      <c r="B322" s="125"/>
      <c r="C322" s="124"/>
      <c r="D322" s="126"/>
      <c r="E322" s="127"/>
      <c r="F322" s="127"/>
      <c r="G322" s="127">
        <f>SUM(G300:G320)</f>
        <v>183605.69826446282</v>
      </c>
      <c r="H322" s="77"/>
    </row>
    <row r="323" spans="2:10" ht="15">
      <c r="B323" s="105"/>
      <c r="D323" s="76"/>
      <c r="E323" s="10"/>
      <c r="F323" s="10"/>
      <c r="H323" s="192"/>
      <c r="I323" s="64"/>
      <c r="J323" s="64"/>
    </row>
    <row r="324" spans="2:12" ht="15">
      <c r="B324" s="105"/>
      <c r="D324" s="76"/>
      <c r="E324" s="10"/>
      <c r="F324" s="10"/>
      <c r="H324" s="192"/>
      <c r="I324" s="64"/>
      <c r="J324" s="64"/>
      <c r="L324" s="128"/>
    </row>
    <row r="325" spans="1:10" ht="15.75" thickBot="1">
      <c r="A325" s="129" t="s">
        <v>454</v>
      </c>
      <c r="B325" s="130"/>
      <c r="C325" s="129"/>
      <c r="D325" s="131"/>
      <c r="E325" s="132"/>
      <c r="F325" s="132"/>
      <c r="G325" s="132">
        <f>+G87+G108+G134+G214+G227+G267+G255+G284+G290+G322+G298+G102</f>
        <v>724999.9982644629</v>
      </c>
      <c r="H325" s="192"/>
      <c r="I325" s="64"/>
      <c r="J325" s="192"/>
    </row>
    <row r="326" spans="1:10" ht="15">
      <c r="A326" s="93"/>
      <c r="B326" s="94"/>
      <c r="C326" s="93"/>
      <c r="D326" s="96"/>
      <c r="E326" s="99" t="s">
        <v>704</v>
      </c>
      <c r="F326" s="95"/>
      <c r="G326" s="95"/>
      <c r="H326" s="192"/>
      <c r="I326" s="64"/>
      <c r="J326" s="64"/>
    </row>
    <row r="327" spans="1:10" ht="15">
      <c r="A327" s="182" t="s">
        <v>497</v>
      </c>
      <c r="B327" s="183" t="s">
        <v>495</v>
      </c>
      <c r="C327" s="183" t="s">
        <v>487</v>
      </c>
      <c r="D327" s="184" t="s">
        <v>494</v>
      </c>
      <c r="E327" s="349" t="s">
        <v>705</v>
      </c>
      <c r="F327" s="95"/>
      <c r="G327" s="95"/>
      <c r="H327" s="192"/>
      <c r="I327" s="64"/>
      <c r="J327" s="64"/>
    </row>
    <row r="328" spans="1:10" ht="15">
      <c r="A328" s="64" t="s">
        <v>483</v>
      </c>
      <c r="B328" s="152">
        <f>+G311</f>
        <v>36000</v>
      </c>
      <c r="C328" s="121">
        <v>225</v>
      </c>
      <c r="D328" s="185">
        <f>+B328*C328</f>
        <v>8100000</v>
      </c>
      <c r="F328" s="95"/>
      <c r="G328" s="95"/>
      <c r="H328" s="192"/>
      <c r="I328" s="64"/>
      <c r="J328" s="192"/>
    </row>
    <row r="329" spans="1:10" ht="15">
      <c r="A329" s="64" t="s">
        <v>493</v>
      </c>
      <c r="B329" s="140">
        <f>+G102</f>
        <v>27046.800000000007</v>
      </c>
      <c r="C329" s="186">
        <v>225</v>
      </c>
      <c r="D329" s="185">
        <f>+B329*C329</f>
        <v>6085530.000000002</v>
      </c>
      <c r="E329" s="135">
        <f>+D329+'Multifamily Homes Budget.Other'!F329*4</f>
        <v>6301904.400000002</v>
      </c>
      <c r="F329" s="135"/>
      <c r="G329" s="95"/>
      <c r="H329" s="192"/>
      <c r="I329" s="64"/>
      <c r="J329" s="192"/>
    </row>
    <row r="330" spans="1:10" ht="15">
      <c r="A330" s="64" t="s">
        <v>496</v>
      </c>
      <c r="B330" s="140">
        <f>+G325-B328-B329-B331</f>
        <v>650484.1900000001</v>
      </c>
      <c r="C330" s="186">
        <v>225</v>
      </c>
      <c r="D330" s="185">
        <f>+B330*C330</f>
        <v>146358942.75</v>
      </c>
      <c r="E330" s="135"/>
      <c r="F330" s="135"/>
      <c r="G330" s="95"/>
      <c r="H330" s="192"/>
      <c r="I330" s="64"/>
      <c r="J330" s="192"/>
    </row>
    <row r="331" spans="1:10" ht="15">
      <c r="A331" s="64" t="s">
        <v>446</v>
      </c>
      <c r="B331" s="140">
        <f>+G313</f>
        <v>11469.00826446281</v>
      </c>
      <c r="C331" s="186">
        <v>225</v>
      </c>
      <c r="D331" s="185">
        <f>+B331*C331</f>
        <v>2580526.859504132</v>
      </c>
      <c r="E331" s="135"/>
      <c r="F331" s="135"/>
      <c r="G331" s="95"/>
      <c r="H331" s="192"/>
      <c r="I331" s="64"/>
      <c r="J331" s="192"/>
    </row>
    <row r="332" spans="1:10" ht="15">
      <c r="A332" s="64"/>
      <c r="B332" s="133"/>
      <c r="C332" s="187"/>
      <c r="D332" s="133"/>
      <c r="E332" s="135"/>
      <c r="F332" s="135"/>
      <c r="G332" s="95"/>
      <c r="H332" s="192"/>
      <c r="I332" s="64"/>
      <c r="J332" s="192"/>
    </row>
    <row r="333" spans="1:10" ht="15">
      <c r="A333" s="54" t="s">
        <v>494</v>
      </c>
      <c r="B333" s="136">
        <f>SUM(B328:B331)</f>
        <v>724999.9982644629</v>
      </c>
      <c r="C333" s="176"/>
      <c r="D333" s="136">
        <f>SUM(D328:D331)</f>
        <v>163124999.60950413</v>
      </c>
      <c r="E333" s="135">
        <f>725000*225</f>
        <v>163125000</v>
      </c>
      <c r="F333" s="202">
        <f>+E333/5</f>
        <v>32625000</v>
      </c>
      <c r="G333" s="203" t="s">
        <v>508</v>
      </c>
      <c r="H333" s="192"/>
      <c r="I333" s="64"/>
      <c r="J333" s="192"/>
    </row>
    <row r="334" spans="1:10" ht="15">
      <c r="A334" s="64"/>
      <c r="B334" s="133"/>
      <c r="C334" s="187"/>
      <c r="D334" s="133"/>
      <c r="E334" s="135"/>
      <c r="F334" s="135"/>
      <c r="G334" s="95"/>
      <c r="H334" s="192"/>
      <c r="I334" s="64"/>
      <c r="J334" s="192"/>
    </row>
    <row r="335" spans="1:10" ht="15">
      <c r="A335" s="54" t="s">
        <v>507</v>
      </c>
      <c r="B335" s="183" t="s">
        <v>495</v>
      </c>
      <c r="C335" s="189" t="s">
        <v>502</v>
      </c>
      <c r="D335" s="190" t="s">
        <v>503</v>
      </c>
      <c r="E335" s="179" t="s">
        <v>504</v>
      </c>
      <c r="F335" s="191" t="s">
        <v>505</v>
      </c>
      <c r="G335" s="191" t="s">
        <v>72</v>
      </c>
      <c r="H335" s="192"/>
      <c r="I335" s="64"/>
      <c r="J335" s="192"/>
    </row>
    <row r="336" spans="1:10" ht="15">
      <c r="A336" s="64" t="s">
        <v>500</v>
      </c>
      <c r="B336" s="140">
        <f>+G498</f>
        <v>14040.000000000002</v>
      </c>
      <c r="C336" s="213">
        <f>+H498</f>
        <v>7020.000000000001</v>
      </c>
      <c r="D336" s="140">
        <f>+H500</f>
        <v>4756.297683426914</v>
      </c>
      <c r="E336" s="140">
        <f>+C336+D336</f>
        <v>11776.297683426914</v>
      </c>
      <c r="F336" s="214">
        <f>+C444</f>
        <v>2</v>
      </c>
      <c r="G336" s="141">
        <f>+F336*E336</f>
        <v>23552.595366853828</v>
      </c>
      <c r="H336" s="77"/>
      <c r="J336" s="77"/>
    </row>
    <row r="337" spans="1:10" ht="15">
      <c r="A337" s="64" t="s">
        <v>498</v>
      </c>
      <c r="B337" s="140">
        <f>+G560</f>
        <v>166662.09999999998</v>
      </c>
      <c r="C337" s="213">
        <f>+H560</f>
        <v>7575.549999999999</v>
      </c>
      <c r="D337" s="215">
        <f>+H562</f>
        <v>5945.372104283641</v>
      </c>
      <c r="E337" s="140">
        <f>+C337+D337</f>
        <v>13520.92210428364</v>
      </c>
      <c r="F337" s="214">
        <f>+C507</f>
        <v>22</v>
      </c>
      <c r="G337" s="141">
        <f>+F337*E337</f>
        <v>297460.2862942401</v>
      </c>
      <c r="H337" s="77"/>
      <c r="J337" s="77"/>
    </row>
    <row r="338" spans="1:10" ht="15">
      <c r="A338" s="64" t="s">
        <v>499</v>
      </c>
      <c r="B338" s="215">
        <f>+G623</f>
        <v>232760.39999999997</v>
      </c>
      <c r="C338" s="213">
        <f>+H623</f>
        <v>9698.349999999999</v>
      </c>
      <c r="D338" s="140">
        <f>+H625</f>
        <v>7134.446525140371</v>
      </c>
      <c r="E338" s="140">
        <f>+C338+D338</f>
        <v>16832.79652514037</v>
      </c>
      <c r="F338" s="214">
        <f>+C569</f>
        <v>24</v>
      </c>
      <c r="G338" s="141">
        <f>+F338*E338</f>
        <v>403987.1166033689</v>
      </c>
      <c r="H338" s="77"/>
      <c r="J338" s="77"/>
    </row>
    <row r="339" spans="1:10" ht="15">
      <c r="A339" s="64" t="s">
        <v>501</v>
      </c>
      <c r="B339" s="215">
        <f>+G435</f>
        <v>311537.49826446286</v>
      </c>
      <c r="C339" s="186"/>
      <c r="D339" s="216"/>
      <c r="E339" s="140">
        <f>+C339+D339</f>
        <v>0</v>
      </c>
      <c r="F339" s="214"/>
      <c r="G339" s="141">
        <f>+F339*E339</f>
        <v>0</v>
      </c>
      <c r="H339" s="77"/>
      <c r="J339" s="77"/>
    </row>
    <row r="340" spans="1:10" ht="15">
      <c r="A340" s="64"/>
      <c r="B340" s="133"/>
      <c r="C340" s="187"/>
      <c r="D340" s="133"/>
      <c r="E340" s="135"/>
      <c r="F340" s="180"/>
      <c r="G340" s="95"/>
      <c r="H340" s="77"/>
      <c r="J340" s="77"/>
    </row>
    <row r="341" spans="1:10" ht="15">
      <c r="A341" s="54" t="s">
        <v>72</v>
      </c>
      <c r="B341" s="136">
        <f aca="true" t="shared" si="16" ref="B341:G341">SUM(B336:B339)</f>
        <v>724999.9982644628</v>
      </c>
      <c r="C341" s="136">
        <f t="shared" si="16"/>
        <v>24293.899999999998</v>
      </c>
      <c r="D341" s="136">
        <f t="shared" si="16"/>
        <v>17836.116312850925</v>
      </c>
      <c r="E341" s="136">
        <f t="shared" si="16"/>
        <v>42130.01631285092</v>
      </c>
      <c r="F341" s="136">
        <f t="shared" si="16"/>
        <v>48</v>
      </c>
      <c r="G341" s="136">
        <f t="shared" si="16"/>
        <v>724999.9982644628</v>
      </c>
      <c r="H341" s="77"/>
      <c r="J341" s="77"/>
    </row>
    <row r="342" spans="1:10" ht="15">
      <c r="A342" s="56"/>
      <c r="B342" s="135"/>
      <c r="C342" s="135"/>
      <c r="D342" s="135"/>
      <c r="E342" s="135"/>
      <c r="F342" s="135"/>
      <c r="G342" s="135"/>
      <c r="H342" s="77"/>
      <c r="J342" s="77"/>
    </row>
    <row r="343" spans="1:10" ht="15">
      <c r="A343" s="56"/>
      <c r="B343" s="135"/>
      <c r="C343" s="135"/>
      <c r="D343" s="135"/>
      <c r="E343" s="135"/>
      <c r="F343" s="135"/>
      <c r="G343" s="135"/>
      <c r="H343" s="77"/>
      <c r="J343" s="77"/>
    </row>
    <row r="344" spans="1:10" ht="15">
      <c r="A344" s="173" t="s">
        <v>506</v>
      </c>
      <c r="B344" s="133"/>
      <c r="C344" s="134"/>
      <c r="D344" s="133"/>
      <c r="E344" s="135"/>
      <c r="F344" s="135"/>
      <c r="G344" s="95"/>
      <c r="H344" s="77"/>
      <c r="J344" s="77"/>
    </row>
    <row r="345" spans="1:10" ht="15">
      <c r="A345" s="137" t="s">
        <v>455</v>
      </c>
      <c r="B345" s="133"/>
      <c r="C345" s="134"/>
      <c r="D345" s="133"/>
      <c r="E345" s="135"/>
      <c r="F345" s="135"/>
      <c r="G345" s="95"/>
      <c r="H345" s="77"/>
      <c r="J345" s="77"/>
    </row>
    <row r="346" spans="1:10" ht="15">
      <c r="A346" s="138" t="s">
        <v>279</v>
      </c>
      <c r="B346" s="133"/>
      <c r="C346" s="139">
        <f>+G74</f>
        <v>1449.8000000000002</v>
      </c>
      <c r="D346" s="140">
        <f>+G85</f>
        <v>55</v>
      </c>
      <c r="E346" s="135"/>
      <c r="F346" s="141">
        <f>+C346*D346</f>
        <v>79739.00000000001</v>
      </c>
      <c r="H346" s="77"/>
      <c r="J346" s="77"/>
    </row>
    <row r="347" spans="1:10" ht="15">
      <c r="A347" s="93" t="s">
        <v>456</v>
      </c>
      <c r="B347" s="102"/>
      <c r="C347" s="101"/>
      <c r="D347" s="101"/>
      <c r="E347" s="100"/>
      <c r="F347" s="10"/>
      <c r="H347" s="77"/>
      <c r="J347" s="77"/>
    </row>
    <row r="348" spans="1:10" ht="15">
      <c r="A348" t="s">
        <v>268</v>
      </c>
      <c r="B348" s="75" t="s">
        <v>269</v>
      </c>
      <c r="C348" s="101">
        <f>+C95</f>
        <v>268.40000000000003</v>
      </c>
      <c r="D348" s="101">
        <f>+D95</f>
        <v>6</v>
      </c>
      <c r="E348" s="100"/>
      <c r="F348" s="10">
        <f aca="true" t="shared" si="17" ref="F348:F353">+C348*D348</f>
        <v>1610.4</v>
      </c>
      <c r="H348" s="77"/>
      <c r="J348" s="77"/>
    </row>
    <row r="349" spans="1:10" ht="15">
      <c r="A349" t="s">
        <v>268</v>
      </c>
      <c r="B349" s="78" t="s">
        <v>270</v>
      </c>
      <c r="C349" s="100">
        <f>+E96</f>
        <v>554.4000000000001</v>
      </c>
      <c r="D349" s="101">
        <f>+D348</f>
        <v>6</v>
      </c>
      <c r="E349" s="100"/>
      <c r="F349" s="10">
        <f t="shared" si="17"/>
        <v>3326.4000000000005</v>
      </c>
      <c r="H349" s="77"/>
      <c r="J349" s="77"/>
    </row>
    <row r="350" spans="1:10" ht="15">
      <c r="A350" t="s">
        <v>294</v>
      </c>
      <c r="B350" t="s">
        <v>273</v>
      </c>
      <c r="C350" s="101">
        <f>+C97</f>
        <v>165</v>
      </c>
      <c r="D350" s="101">
        <f>+D348</f>
        <v>6</v>
      </c>
      <c r="E350" s="100"/>
      <c r="F350" s="10">
        <f t="shared" si="17"/>
        <v>990</v>
      </c>
      <c r="H350" s="77"/>
      <c r="J350" s="77"/>
    </row>
    <row r="351" spans="1:10" ht="15">
      <c r="A351" t="s">
        <v>294</v>
      </c>
      <c r="B351" t="s">
        <v>274</v>
      </c>
      <c r="C351" s="101">
        <f>+E98</f>
        <v>132</v>
      </c>
      <c r="D351" s="101">
        <f>+D349</f>
        <v>6</v>
      </c>
      <c r="E351" s="100"/>
      <c r="F351" s="10">
        <f t="shared" si="17"/>
        <v>792</v>
      </c>
      <c r="H351" s="77"/>
      <c r="J351" s="77"/>
    </row>
    <row r="352" spans="1:10" ht="15">
      <c r="A352" t="s">
        <v>295</v>
      </c>
      <c r="B352" t="s">
        <v>277</v>
      </c>
      <c r="C352" s="101">
        <f>+C99</f>
        <v>198.00000000000003</v>
      </c>
      <c r="D352" s="101">
        <f>+D350</f>
        <v>6</v>
      </c>
      <c r="E352" s="100"/>
      <c r="F352" s="10">
        <f t="shared" si="17"/>
        <v>1188.0000000000002</v>
      </c>
      <c r="H352" s="77"/>
      <c r="J352" s="77"/>
    </row>
    <row r="353" spans="1:10" ht="15">
      <c r="A353" t="s">
        <v>295</v>
      </c>
      <c r="B353" t="s">
        <v>274</v>
      </c>
      <c r="C353" s="101">
        <f>+E100</f>
        <v>132</v>
      </c>
      <c r="D353" s="101">
        <f>+D351</f>
        <v>6</v>
      </c>
      <c r="E353" s="100"/>
      <c r="F353" s="10">
        <f t="shared" si="17"/>
        <v>792</v>
      </c>
      <c r="G353" s="10"/>
      <c r="H353" s="77"/>
      <c r="J353" s="77"/>
    </row>
    <row r="354" spans="1:10" ht="15">
      <c r="A354" s="138"/>
      <c r="B354" s="133"/>
      <c r="C354" s="139"/>
      <c r="D354" s="140"/>
      <c r="E354" s="135"/>
      <c r="F354" s="135"/>
      <c r="G354" s="141"/>
      <c r="H354" s="77"/>
      <c r="J354" s="77"/>
    </row>
    <row r="355" spans="1:10" ht="15">
      <c r="A355" t="s">
        <v>315</v>
      </c>
      <c r="B355" s="133"/>
      <c r="C355" s="30">
        <f aca="true" t="shared" si="18" ref="C355:D360">+C127</f>
        <v>4</v>
      </c>
      <c r="D355" s="76">
        <f t="shared" si="18"/>
        <v>100</v>
      </c>
      <c r="E355" s="135"/>
      <c r="F355" s="140">
        <f aca="true" t="shared" si="19" ref="F355:F360">+C355*D355</f>
        <v>400</v>
      </c>
      <c r="G355" s="141"/>
      <c r="H355" s="77"/>
      <c r="J355" s="77"/>
    </row>
    <row r="356" spans="1:10" ht="15">
      <c r="A356" t="s">
        <v>317</v>
      </c>
      <c r="B356" s="133"/>
      <c r="C356" s="30">
        <f t="shared" si="18"/>
        <v>4</v>
      </c>
      <c r="D356" s="76">
        <f t="shared" si="18"/>
        <v>16</v>
      </c>
      <c r="E356" s="135"/>
      <c r="F356" s="140">
        <f t="shared" si="19"/>
        <v>64</v>
      </c>
      <c r="G356" s="141"/>
      <c r="H356" s="77"/>
      <c r="J356" s="77"/>
    </row>
    <row r="357" spans="1:10" ht="15">
      <c r="A357" t="s">
        <v>309</v>
      </c>
      <c r="B357" s="133"/>
      <c r="C357" s="30">
        <f t="shared" si="18"/>
        <v>4</v>
      </c>
      <c r="D357" s="76">
        <f t="shared" si="18"/>
        <v>1</v>
      </c>
      <c r="E357" s="135"/>
      <c r="F357" s="140">
        <f t="shared" si="19"/>
        <v>4</v>
      </c>
      <c r="G357" s="141"/>
      <c r="H357" s="77"/>
      <c r="J357" s="77"/>
    </row>
    <row r="358" spans="1:10" ht="15">
      <c r="A358" t="s">
        <v>318</v>
      </c>
      <c r="B358" s="133"/>
      <c r="C358" s="30">
        <f t="shared" si="18"/>
        <v>1</v>
      </c>
      <c r="D358" s="76">
        <f t="shared" si="18"/>
        <v>350</v>
      </c>
      <c r="E358" s="135"/>
      <c r="F358" s="140">
        <f t="shared" si="19"/>
        <v>350</v>
      </c>
      <c r="G358" s="141"/>
      <c r="H358" s="77"/>
      <c r="J358" s="77"/>
    </row>
    <row r="359" spans="1:10" ht="15">
      <c r="A359" t="s">
        <v>320</v>
      </c>
      <c r="B359" s="133"/>
      <c r="C359" s="30">
        <f t="shared" si="18"/>
        <v>1</v>
      </c>
      <c r="D359" s="76">
        <f t="shared" si="18"/>
        <v>45</v>
      </c>
      <c r="E359" s="135"/>
      <c r="F359" s="140">
        <f t="shared" si="19"/>
        <v>45</v>
      </c>
      <c r="G359" s="95"/>
      <c r="H359" s="77"/>
      <c r="J359" s="77"/>
    </row>
    <row r="360" spans="1:10" ht="15">
      <c r="A360" t="s">
        <v>321</v>
      </c>
      <c r="B360" s="133"/>
      <c r="C360" s="30">
        <f t="shared" si="18"/>
        <v>1</v>
      </c>
      <c r="D360" s="76">
        <f t="shared" si="18"/>
        <v>1</v>
      </c>
      <c r="E360" s="135"/>
      <c r="F360" s="140">
        <f t="shared" si="19"/>
        <v>1</v>
      </c>
      <c r="G360" s="141">
        <f>SUM(F355:F360)/J27</f>
        <v>18</v>
      </c>
      <c r="H360" s="77"/>
      <c r="J360" s="77"/>
    </row>
    <row r="361" spans="2:10" ht="15">
      <c r="B361" s="133"/>
      <c r="C361" s="134"/>
      <c r="D361" s="133"/>
      <c r="E361" s="135"/>
      <c r="F361" s="135"/>
      <c r="G361" s="95"/>
      <c r="H361" s="77"/>
      <c r="J361" s="77"/>
    </row>
    <row r="362" spans="1:10" ht="15">
      <c r="A362" t="s">
        <v>350</v>
      </c>
      <c r="B362" s="105">
        <f aca="true" t="shared" si="20" ref="B362:D371">+B197</f>
        <v>750</v>
      </c>
      <c r="C362" s="105">
        <f t="shared" si="20"/>
        <v>1</v>
      </c>
      <c r="D362" s="11">
        <f t="shared" si="20"/>
        <v>0.174</v>
      </c>
      <c r="E362" s="135"/>
      <c r="F362" s="77">
        <f aca="true" t="shared" si="21" ref="F362:F377">+B362*C362*D362</f>
        <v>130.5</v>
      </c>
      <c r="G362" s="95"/>
      <c r="H362" s="77"/>
      <c r="J362" s="77"/>
    </row>
    <row r="363" spans="1:10" ht="15">
      <c r="A363" t="s">
        <v>351</v>
      </c>
      <c r="B363" s="105">
        <f t="shared" si="20"/>
        <v>750</v>
      </c>
      <c r="C363" s="105">
        <f t="shared" si="20"/>
        <v>1</v>
      </c>
      <c r="D363" s="11">
        <f t="shared" si="20"/>
        <v>0.13</v>
      </c>
      <c r="E363" s="135"/>
      <c r="F363" s="77">
        <f t="shared" si="21"/>
        <v>97.5</v>
      </c>
      <c r="G363" s="95"/>
      <c r="H363" s="77"/>
      <c r="J363" s="77"/>
    </row>
    <row r="364" spans="1:10" ht="15">
      <c r="A364" t="s">
        <v>352</v>
      </c>
      <c r="B364" s="105">
        <f t="shared" si="20"/>
        <v>9</v>
      </c>
      <c r="C364" s="105">
        <f t="shared" si="20"/>
        <v>4</v>
      </c>
      <c r="D364" s="11">
        <f t="shared" si="20"/>
        <v>0.5</v>
      </c>
      <c r="E364" s="135"/>
      <c r="F364" s="77">
        <f t="shared" si="21"/>
        <v>18</v>
      </c>
      <c r="G364" s="95"/>
      <c r="H364" s="77"/>
      <c r="J364" s="77"/>
    </row>
    <row r="365" spans="1:10" ht="15">
      <c r="A365" t="s">
        <v>353</v>
      </c>
      <c r="B365" s="105">
        <f t="shared" si="20"/>
        <v>9</v>
      </c>
      <c r="C365" s="105">
        <f t="shared" si="20"/>
        <v>4</v>
      </c>
      <c r="D365" s="11">
        <f t="shared" si="20"/>
        <v>0.15</v>
      </c>
      <c r="E365" s="135"/>
      <c r="F365" s="77">
        <f t="shared" si="21"/>
        <v>5.3999999999999995</v>
      </c>
      <c r="G365" s="95"/>
      <c r="H365" s="77"/>
      <c r="J365" s="77"/>
    </row>
    <row r="366" spans="1:10" ht="15">
      <c r="A366" t="s">
        <v>354</v>
      </c>
      <c r="B366" s="105">
        <f t="shared" si="20"/>
        <v>8</v>
      </c>
      <c r="C366" s="105">
        <f t="shared" si="20"/>
        <v>4</v>
      </c>
      <c r="D366" s="11">
        <f t="shared" si="20"/>
        <v>10</v>
      </c>
      <c r="E366" s="135"/>
      <c r="F366" s="77">
        <f t="shared" si="21"/>
        <v>320</v>
      </c>
      <c r="G366" s="95"/>
      <c r="H366" s="77"/>
      <c r="J366" s="77"/>
    </row>
    <row r="367" spans="1:10" ht="15">
      <c r="A367" t="s">
        <v>355</v>
      </c>
      <c r="B367" s="105">
        <f t="shared" si="20"/>
        <v>8</v>
      </c>
      <c r="C367" s="105">
        <f t="shared" si="20"/>
        <v>4</v>
      </c>
      <c r="D367" s="11">
        <f t="shared" si="20"/>
        <v>0.5</v>
      </c>
      <c r="E367" s="135"/>
      <c r="F367" s="77">
        <f t="shared" si="21"/>
        <v>16</v>
      </c>
      <c r="G367" s="95"/>
      <c r="H367" s="77"/>
      <c r="J367" s="77"/>
    </row>
    <row r="368" spans="1:10" ht="15">
      <c r="A368" t="s">
        <v>356</v>
      </c>
      <c r="B368" s="105">
        <f t="shared" si="20"/>
        <v>8</v>
      </c>
      <c r="C368" s="105">
        <f t="shared" si="20"/>
        <v>4</v>
      </c>
      <c r="D368" s="11">
        <f t="shared" si="20"/>
        <v>0.15</v>
      </c>
      <c r="E368" s="135"/>
      <c r="F368" s="77">
        <f t="shared" si="21"/>
        <v>4.8</v>
      </c>
      <c r="G368" s="95"/>
      <c r="H368" s="77"/>
      <c r="J368" s="77"/>
    </row>
    <row r="369" spans="1:10" ht="15">
      <c r="A369" t="s">
        <v>336</v>
      </c>
      <c r="B369" s="105">
        <f>+B364</f>
        <v>9</v>
      </c>
      <c r="C369" s="105">
        <f t="shared" si="20"/>
        <v>4</v>
      </c>
      <c r="D369" s="11">
        <f t="shared" si="20"/>
        <v>0.6</v>
      </c>
      <c r="E369" s="135"/>
      <c r="F369" s="77">
        <f t="shared" si="21"/>
        <v>21.599999999999998</v>
      </c>
      <c r="G369" s="95"/>
      <c r="H369" s="77"/>
      <c r="J369" s="77"/>
    </row>
    <row r="370" spans="1:10" ht="15">
      <c r="A370" t="s">
        <v>337</v>
      </c>
      <c r="B370" s="105">
        <f>+B366</f>
        <v>8</v>
      </c>
      <c r="C370" s="105">
        <f t="shared" si="20"/>
        <v>4</v>
      </c>
      <c r="D370" s="11">
        <f t="shared" si="20"/>
        <v>1</v>
      </c>
      <c r="E370" s="135"/>
      <c r="F370" s="77">
        <f t="shared" si="21"/>
        <v>32</v>
      </c>
      <c r="G370" s="95"/>
      <c r="H370" s="77"/>
      <c r="J370" s="77"/>
    </row>
    <row r="371" spans="1:10" ht="15">
      <c r="A371" t="s">
        <v>338</v>
      </c>
      <c r="B371" s="105">
        <f>+B367</f>
        <v>8</v>
      </c>
      <c r="C371" s="105">
        <f t="shared" si="20"/>
        <v>4</v>
      </c>
      <c r="D371" s="11">
        <f t="shared" si="20"/>
        <v>0.8</v>
      </c>
      <c r="E371" s="135"/>
      <c r="F371" s="77">
        <f t="shared" si="21"/>
        <v>25.6</v>
      </c>
      <c r="G371" s="95"/>
      <c r="H371" s="77"/>
      <c r="J371" s="77"/>
    </row>
    <row r="372" spans="1:10" ht="15">
      <c r="A372" t="s">
        <v>357</v>
      </c>
      <c r="B372">
        <v>1</v>
      </c>
      <c r="C372">
        <v>1</v>
      </c>
      <c r="D372" s="142">
        <f>+D207</f>
        <v>40</v>
      </c>
      <c r="E372" s="135"/>
      <c r="F372" s="77">
        <f t="shared" si="21"/>
        <v>40</v>
      </c>
      <c r="G372" s="95"/>
      <c r="H372" s="77"/>
      <c r="J372" s="77"/>
    </row>
    <row r="373" spans="1:10" ht="15">
      <c r="A373" t="s">
        <v>340</v>
      </c>
      <c r="B373">
        <v>6</v>
      </c>
      <c r="C373">
        <v>1</v>
      </c>
      <c r="D373" s="142">
        <f>+D208</f>
        <v>5.25</v>
      </c>
      <c r="E373" s="135"/>
      <c r="F373" s="77">
        <f t="shared" si="21"/>
        <v>31.5</v>
      </c>
      <c r="G373" s="95"/>
      <c r="H373" s="77"/>
      <c r="J373" s="77"/>
    </row>
    <row r="374" spans="1:10" ht="15">
      <c r="A374" t="s">
        <v>341</v>
      </c>
      <c r="B374">
        <v>1</v>
      </c>
      <c r="C374">
        <v>1</v>
      </c>
      <c r="D374" s="142">
        <f>+D209</f>
        <v>52</v>
      </c>
      <c r="E374" s="135"/>
      <c r="F374" s="77">
        <f t="shared" si="21"/>
        <v>52</v>
      </c>
      <c r="G374" s="95"/>
      <c r="H374" s="77"/>
      <c r="J374" s="77"/>
    </row>
    <row r="375" spans="1:10" ht="15">
      <c r="A375" t="s">
        <v>342</v>
      </c>
      <c r="B375">
        <v>1</v>
      </c>
      <c r="C375">
        <v>1</v>
      </c>
      <c r="D375" s="142">
        <f>+D210</f>
        <v>2.1</v>
      </c>
      <c r="E375" s="135"/>
      <c r="F375" s="77">
        <f t="shared" si="21"/>
        <v>2.1</v>
      </c>
      <c r="G375" s="95"/>
      <c r="H375" s="77"/>
      <c r="J375" s="77"/>
    </row>
    <row r="376" spans="1:10" ht="15">
      <c r="A376" t="s">
        <v>358</v>
      </c>
      <c r="B376" s="105">
        <f aca="true" t="shared" si="22" ref="B376:D377">+B211</f>
        <v>5</v>
      </c>
      <c r="C376" s="105">
        <f t="shared" si="22"/>
        <v>4</v>
      </c>
      <c r="D376" s="11">
        <f t="shared" si="22"/>
        <v>12.5</v>
      </c>
      <c r="E376" s="135"/>
      <c r="F376" s="77">
        <f t="shared" si="21"/>
        <v>250</v>
      </c>
      <c r="G376" s="95"/>
      <c r="H376" s="77"/>
      <c r="J376" s="77"/>
    </row>
    <row r="377" spans="1:10" ht="15">
      <c r="A377" t="s">
        <v>359</v>
      </c>
      <c r="B377" s="105">
        <f t="shared" si="22"/>
        <v>4</v>
      </c>
      <c r="C377" s="105">
        <f t="shared" si="22"/>
        <v>4</v>
      </c>
      <c r="D377" s="11">
        <f>+D212</f>
        <v>30</v>
      </c>
      <c r="E377" s="135"/>
      <c r="F377" s="77">
        <f t="shared" si="21"/>
        <v>480</v>
      </c>
      <c r="G377" s="95">
        <f>SUM(F362:F377)/J27</f>
        <v>31.8125</v>
      </c>
      <c r="H377" s="77">
        <f>SUM(F362:F377)</f>
        <v>1527</v>
      </c>
      <c r="J377" s="77"/>
    </row>
    <row r="378" spans="2:10" ht="15">
      <c r="B378" s="105"/>
      <c r="C378" s="105"/>
      <c r="D378" s="11"/>
      <c r="E378" s="135"/>
      <c r="F378" s="77"/>
      <c r="G378" s="95"/>
      <c r="H378" s="77"/>
      <c r="J378" s="77"/>
    </row>
    <row r="379" spans="1:10" ht="15">
      <c r="A379" t="s">
        <v>385</v>
      </c>
      <c r="B379" s="105">
        <v>5</v>
      </c>
      <c r="C379">
        <v>4</v>
      </c>
      <c r="D379" s="76">
        <f>+D244</f>
        <v>4.6</v>
      </c>
      <c r="E379" s="135"/>
      <c r="F379" s="77">
        <f aca="true" t="shared" si="23" ref="F379:F388">+B379*C379*D379</f>
        <v>92</v>
      </c>
      <c r="G379" s="95"/>
      <c r="H379" s="77"/>
      <c r="J379" s="77"/>
    </row>
    <row r="380" spans="1:10" ht="15">
      <c r="A380" t="s">
        <v>386</v>
      </c>
      <c r="B380" s="105">
        <v>6</v>
      </c>
      <c r="C380">
        <f>+C379</f>
        <v>4</v>
      </c>
      <c r="D380" s="76">
        <f>+D245</f>
        <v>1</v>
      </c>
      <c r="E380" s="135"/>
      <c r="F380" s="77">
        <f t="shared" si="23"/>
        <v>24</v>
      </c>
      <c r="G380" s="95"/>
      <c r="H380" s="77"/>
      <c r="J380" s="77"/>
    </row>
    <row r="381" spans="1:10" ht="15">
      <c r="A381" t="s">
        <v>387</v>
      </c>
      <c r="B381" s="105">
        <v>1</v>
      </c>
      <c r="C381">
        <f>+C380</f>
        <v>4</v>
      </c>
      <c r="D381" s="76">
        <f>+D246</f>
        <v>10</v>
      </c>
      <c r="E381" s="135"/>
      <c r="F381" s="77">
        <f t="shared" si="23"/>
        <v>40</v>
      </c>
      <c r="G381" s="95"/>
      <c r="H381" s="77"/>
      <c r="J381" s="77"/>
    </row>
    <row r="382" spans="1:10" ht="15">
      <c r="A382" t="s">
        <v>388</v>
      </c>
      <c r="B382" s="105">
        <v>1</v>
      </c>
      <c r="C382">
        <f>+C381</f>
        <v>4</v>
      </c>
      <c r="D382" s="76">
        <f>+D247</f>
        <v>5</v>
      </c>
      <c r="E382" s="135"/>
      <c r="F382" s="77">
        <f t="shared" si="23"/>
        <v>20</v>
      </c>
      <c r="G382" s="95"/>
      <c r="H382" s="77"/>
      <c r="J382" s="77"/>
    </row>
    <row r="383" spans="1:10" ht="15">
      <c r="A383" t="s">
        <v>389</v>
      </c>
      <c r="B383" s="105">
        <v>2</v>
      </c>
      <c r="C383">
        <v>4</v>
      </c>
      <c r="D383" s="76">
        <f>+D248</f>
        <v>5</v>
      </c>
      <c r="E383" s="135"/>
      <c r="F383" s="77">
        <f t="shared" si="23"/>
        <v>40</v>
      </c>
      <c r="G383" s="95"/>
      <c r="H383" s="77"/>
      <c r="J383" s="77"/>
    </row>
    <row r="384" spans="1:10" ht="15">
      <c r="A384" t="s">
        <v>390</v>
      </c>
      <c r="B384" s="105">
        <v>1</v>
      </c>
      <c r="C384">
        <v>4</v>
      </c>
      <c r="D384" s="76">
        <v>50</v>
      </c>
      <c r="E384" s="135"/>
      <c r="F384" s="77">
        <f t="shared" si="23"/>
        <v>200</v>
      </c>
      <c r="G384" s="95"/>
      <c r="H384" s="77"/>
      <c r="J384" s="77"/>
    </row>
    <row r="385" spans="1:10" ht="15">
      <c r="A385" t="s">
        <v>391</v>
      </c>
      <c r="B385">
        <v>1</v>
      </c>
      <c r="C385">
        <v>4</v>
      </c>
      <c r="D385" s="76">
        <v>25</v>
      </c>
      <c r="E385" s="135"/>
      <c r="F385" s="77">
        <f t="shared" si="23"/>
        <v>100</v>
      </c>
      <c r="G385" s="95"/>
      <c r="H385" s="77"/>
      <c r="J385" s="77"/>
    </row>
    <row r="386" spans="1:10" ht="15">
      <c r="A386" t="s">
        <v>392</v>
      </c>
      <c r="B386">
        <v>1</v>
      </c>
      <c r="C386">
        <v>4</v>
      </c>
      <c r="D386" s="76">
        <f>+D251</f>
        <v>1.25</v>
      </c>
      <c r="E386" s="135"/>
      <c r="F386" s="77">
        <f t="shared" si="23"/>
        <v>5</v>
      </c>
      <c r="G386" s="95"/>
      <c r="H386" s="77"/>
      <c r="J386" s="77"/>
    </row>
    <row r="387" spans="1:10" ht="15">
      <c r="A387" t="s">
        <v>393</v>
      </c>
      <c r="B387">
        <v>20</v>
      </c>
      <c r="C387">
        <v>1</v>
      </c>
      <c r="D387" s="10">
        <f>+D379</f>
        <v>4.6</v>
      </c>
      <c r="E387" s="135"/>
      <c r="F387" s="77">
        <f t="shared" si="23"/>
        <v>92</v>
      </c>
      <c r="G387" s="95"/>
      <c r="H387" s="77"/>
      <c r="J387" s="77"/>
    </row>
    <row r="388" spans="1:10" ht="15">
      <c r="A388" t="s">
        <v>394</v>
      </c>
      <c r="B388">
        <v>3</v>
      </c>
      <c r="C388">
        <v>1</v>
      </c>
      <c r="D388" s="10">
        <f>+D237</f>
        <v>50</v>
      </c>
      <c r="E388" s="135"/>
      <c r="F388" s="77">
        <f t="shared" si="23"/>
        <v>150</v>
      </c>
      <c r="G388" s="95"/>
      <c r="H388" s="77"/>
      <c r="J388" s="77"/>
    </row>
    <row r="389" spans="2:10" ht="15">
      <c r="B389" s="105"/>
      <c r="C389" s="105"/>
      <c r="D389" s="11"/>
      <c r="E389" s="135"/>
      <c r="F389" s="77"/>
      <c r="G389" s="95"/>
      <c r="H389" s="77"/>
      <c r="J389" s="77"/>
    </row>
    <row r="390" spans="1:10" ht="15">
      <c r="A390" s="120" t="s">
        <v>419</v>
      </c>
      <c r="B390" s="105">
        <f>(6*126)+(6*30)+(6*25)</f>
        <v>1086</v>
      </c>
      <c r="C390">
        <v>4</v>
      </c>
      <c r="D390" s="11">
        <f>+D270</f>
        <v>1</v>
      </c>
      <c r="E390" s="135"/>
      <c r="F390" s="77">
        <f>+B390*C390*D390</f>
        <v>4344</v>
      </c>
      <c r="G390" s="95"/>
      <c r="H390" s="77"/>
      <c r="J390" s="77"/>
    </row>
    <row r="391" spans="1:10" ht="15">
      <c r="A391" t="s">
        <v>420</v>
      </c>
      <c r="B391" s="105">
        <v>2</v>
      </c>
      <c r="C391">
        <f>+C390</f>
        <v>4</v>
      </c>
      <c r="D391" s="11">
        <f>+D271</f>
        <v>125</v>
      </c>
      <c r="E391" s="135"/>
      <c r="F391" s="77">
        <f>+B391*C391*D391</f>
        <v>1000</v>
      </c>
      <c r="G391" s="95"/>
      <c r="H391" s="77"/>
      <c r="J391" s="77"/>
    </row>
    <row r="392" spans="1:10" ht="15">
      <c r="A392" t="s">
        <v>421</v>
      </c>
      <c r="B392" s="105">
        <v>10</v>
      </c>
      <c r="C392">
        <f>+C391</f>
        <v>4</v>
      </c>
      <c r="D392" s="11">
        <f>+D272</f>
        <v>6.2</v>
      </c>
      <c r="E392" s="135"/>
      <c r="F392" s="77">
        <f>+B392*C392*D392</f>
        <v>248</v>
      </c>
      <c r="G392" s="95"/>
      <c r="H392" s="77"/>
      <c r="J392" s="77"/>
    </row>
    <row r="393" spans="2:10" ht="15">
      <c r="B393" s="105"/>
      <c r="C393" s="105"/>
      <c r="D393" s="11"/>
      <c r="E393" s="135"/>
      <c r="F393" s="77"/>
      <c r="G393" s="95"/>
      <c r="H393" s="77"/>
      <c r="J393" s="77"/>
    </row>
    <row r="394" spans="1:10" ht="15">
      <c r="A394" t="s">
        <v>424</v>
      </c>
      <c r="B394" s="105">
        <f>8*5</f>
        <v>40</v>
      </c>
      <c r="C394">
        <v>1</v>
      </c>
      <c r="D394" s="11">
        <f>+D392</f>
        <v>6.2</v>
      </c>
      <c r="E394" s="135"/>
      <c r="F394" s="77">
        <f>+B394*C394*D394</f>
        <v>248</v>
      </c>
      <c r="G394" s="95"/>
      <c r="H394" s="77"/>
      <c r="J394" s="77"/>
    </row>
    <row r="395" spans="1:10" ht="15">
      <c r="A395" t="s">
        <v>425</v>
      </c>
      <c r="B395" s="105">
        <v>1</v>
      </c>
      <c r="C395">
        <v>1</v>
      </c>
      <c r="D395" s="11">
        <f>+D288</f>
        <v>2000</v>
      </c>
      <c r="E395" s="135"/>
      <c r="F395" s="77">
        <f>+B395*C395*D395</f>
        <v>2000</v>
      </c>
      <c r="G395" s="95"/>
      <c r="H395" s="77"/>
      <c r="J395" s="77"/>
    </row>
    <row r="396" spans="2:10" ht="15">
      <c r="B396" s="105"/>
      <c r="C396" s="105"/>
      <c r="D396" s="11"/>
      <c r="E396" s="135"/>
      <c r="F396" s="77"/>
      <c r="G396" s="95"/>
      <c r="H396" s="77"/>
      <c r="J396" s="77"/>
    </row>
    <row r="397" spans="1:10" ht="15">
      <c r="A397" t="s">
        <v>364</v>
      </c>
      <c r="B397" s="121">
        <v>1</v>
      </c>
      <c r="C397">
        <v>1</v>
      </c>
      <c r="D397" s="76">
        <f>4375*0.8</f>
        <v>3500</v>
      </c>
      <c r="E397" s="135"/>
      <c r="F397" s="77">
        <f>+B397*C397*D397</f>
        <v>3500</v>
      </c>
      <c r="G397" s="95"/>
      <c r="H397" s="77"/>
      <c r="J397" s="77"/>
    </row>
    <row r="398" spans="5:10" ht="15">
      <c r="E398" s="135"/>
      <c r="F398" s="77"/>
      <c r="G398" s="95"/>
      <c r="H398" s="77"/>
      <c r="J398" s="77"/>
    </row>
    <row r="399" spans="1:10" ht="15">
      <c r="A399" s="93" t="s">
        <v>427</v>
      </c>
      <c r="B399" s="98"/>
      <c r="C399" s="97"/>
      <c r="D399" s="101"/>
      <c r="E399" s="100"/>
      <c r="F399" s="100">
        <v>25000</v>
      </c>
      <c r="H399" s="77"/>
      <c r="J399" s="77"/>
    </row>
    <row r="400" spans="1:10" ht="15">
      <c r="A400" s="97" t="s">
        <v>428</v>
      </c>
      <c r="B400" s="98"/>
      <c r="C400" s="97"/>
      <c r="D400" s="101"/>
      <c r="E400" s="100"/>
      <c r="F400" s="100"/>
      <c r="G400" s="100" t="s">
        <v>80</v>
      </c>
      <c r="H400" s="77"/>
      <c r="J400" s="77"/>
    </row>
    <row r="401" spans="1:10" ht="15">
      <c r="A401" s="97" t="s">
        <v>429</v>
      </c>
      <c r="B401" s="98"/>
      <c r="C401" s="97"/>
      <c r="D401" s="101"/>
      <c r="E401" s="100"/>
      <c r="F401" s="100"/>
      <c r="G401" s="100"/>
      <c r="H401" s="77"/>
      <c r="J401" s="77"/>
    </row>
    <row r="402" spans="1:10" ht="15">
      <c r="A402" s="97" t="s">
        <v>430</v>
      </c>
      <c r="B402" s="98"/>
      <c r="C402" s="97"/>
      <c r="D402" s="101"/>
      <c r="E402" s="100"/>
      <c r="F402" s="100"/>
      <c r="G402" s="100"/>
      <c r="H402" s="77"/>
      <c r="J402" s="77"/>
    </row>
    <row r="403" spans="1:10" ht="15">
      <c r="A403" s="97" t="s">
        <v>431</v>
      </c>
      <c r="B403" s="98"/>
      <c r="C403" s="97"/>
      <c r="D403" s="101"/>
      <c r="E403" s="100"/>
      <c r="F403" s="100"/>
      <c r="G403" s="100"/>
      <c r="H403" s="77"/>
      <c r="J403" s="77"/>
    </row>
    <row r="404" spans="5:10" ht="15">
      <c r="E404" s="135"/>
      <c r="F404" s="77"/>
      <c r="G404" s="95"/>
      <c r="H404" s="77"/>
      <c r="J404" s="77"/>
    </row>
    <row r="405" spans="1:10" ht="15">
      <c r="A405" s="2" t="s">
        <v>433</v>
      </c>
      <c r="B405" s="105"/>
      <c r="D405" s="76"/>
      <c r="E405" s="10"/>
      <c r="F405" s="10"/>
      <c r="G405" s="113"/>
      <c r="H405" s="77"/>
      <c r="J405" s="77"/>
    </row>
    <row r="406" spans="1:10" ht="15">
      <c r="A406" t="s">
        <v>434</v>
      </c>
      <c r="B406" s="105"/>
      <c r="C406">
        <f aca="true" t="shared" si="24" ref="C406:D421">+C301</f>
        <v>4</v>
      </c>
      <c r="D406" s="77">
        <f t="shared" si="24"/>
        <v>5000</v>
      </c>
      <c r="E406" s="10"/>
      <c r="F406" s="10">
        <f aca="true" t="shared" si="25" ref="F406:F416">+C406*D406</f>
        <v>20000</v>
      </c>
      <c r="H406" s="77"/>
      <c r="J406" s="77"/>
    </row>
    <row r="407" spans="1:10" ht="15">
      <c r="A407" t="s">
        <v>435</v>
      </c>
      <c r="B407" s="105"/>
      <c r="C407">
        <f t="shared" si="24"/>
        <v>4</v>
      </c>
      <c r="D407" s="77">
        <f t="shared" si="24"/>
        <v>1500</v>
      </c>
      <c r="E407" s="10"/>
      <c r="F407" s="10">
        <f t="shared" si="25"/>
        <v>6000</v>
      </c>
      <c r="H407" s="77"/>
      <c r="J407" s="77"/>
    </row>
    <row r="408" spans="1:10" ht="15">
      <c r="A408" t="s">
        <v>436</v>
      </c>
      <c r="B408" s="105"/>
      <c r="C408">
        <f t="shared" si="24"/>
        <v>1</v>
      </c>
      <c r="D408" s="77">
        <f t="shared" si="24"/>
        <v>25000</v>
      </c>
      <c r="E408" s="10"/>
      <c r="F408" s="10">
        <f t="shared" si="25"/>
        <v>25000</v>
      </c>
      <c r="H408" s="77"/>
      <c r="J408" s="77"/>
    </row>
    <row r="409" spans="1:10" ht="15">
      <c r="A409" t="s">
        <v>437</v>
      </c>
      <c r="B409" s="105"/>
      <c r="C409">
        <f t="shared" si="24"/>
        <v>4</v>
      </c>
      <c r="D409" s="77">
        <f t="shared" si="24"/>
        <v>5000</v>
      </c>
      <c r="E409" s="10"/>
      <c r="F409" s="10">
        <f t="shared" si="25"/>
        <v>20000</v>
      </c>
      <c r="H409" s="77"/>
      <c r="J409" s="77"/>
    </row>
    <row r="410" spans="1:10" ht="15">
      <c r="A410" t="s">
        <v>438</v>
      </c>
      <c r="B410" s="10">
        <f>61*126</f>
        <v>7686</v>
      </c>
      <c r="C410">
        <f t="shared" si="24"/>
        <v>277.20000000000005</v>
      </c>
      <c r="D410" s="77">
        <f t="shared" si="24"/>
        <v>28</v>
      </c>
      <c r="E410" s="10"/>
      <c r="F410" s="10">
        <f t="shared" si="25"/>
        <v>7761.600000000001</v>
      </c>
      <c r="H410" s="77"/>
      <c r="J410" s="77"/>
    </row>
    <row r="411" spans="1:10" ht="15">
      <c r="A411" t="s">
        <v>439</v>
      </c>
      <c r="B411" s="105">
        <v>28</v>
      </c>
      <c r="C411">
        <f t="shared" si="24"/>
        <v>0</v>
      </c>
      <c r="D411" s="77">
        <f t="shared" si="24"/>
        <v>0</v>
      </c>
      <c r="E411" s="10"/>
      <c r="F411" s="10">
        <f t="shared" si="25"/>
        <v>0</v>
      </c>
      <c r="H411" s="77"/>
      <c r="J411" s="77"/>
    </row>
    <row r="412" spans="1:10" ht="15">
      <c r="A412" t="s">
        <v>440</v>
      </c>
      <c r="B412" s="105"/>
      <c r="C412">
        <f t="shared" si="24"/>
        <v>1</v>
      </c>
      <c r="D412" s="77">
        <f t="shared" si="24"/>
        <v>500</v>
      </c>
      <c r="E412" s="10"/>
      <c r="F412" s="10">
        <f t="shared" si="25"/>
        <v>500</v>
      </c>
      <c r="H412" s="77"/>
      <c r="J412" s="77"/>
    </row>
    <row r="413" spans="1:10" ht="15">
      <c r="A413" t="s">
        <v>441</v>
      </c>
      <c r="B413" s="105"/>
      <c r="C413">
        <f t="shared" si="24"/>
        <v>1</v>
      </c>
      <c r="D413" s="77">
        <f t="shared" si="24"/>
        <v>5000</v>
      </c>
      <c r="E413" s="10"/>
      <c r="F413" s="10">
        <f t="shared" si="25"/>
        <v>5000</v>
      </c>
      <c r="H413" s="77"/>
      <c r="J413" s="77"/>
    </row>
    <row r="414" spans="1:10" ht="15">
      <c r="A414" t="s">
        <v>442</v>
      </c>
      <c r="B414" s="105"/>
      <c r="C414">
        <f t="shared" si="24"/>
        <v>1</v>
      </c>
      <c r="D414" s="77">
        <f t="shared" si="24"/>
        <v>500</v>
      </c>
      <c r="E414" s="10"/>
      <c r="F414" s="10">
        <f t="shared" si="25"/>
        <v>500</v>
      </c>
      <c r="H414" s="77"/>
      <c r="J414" s="77"/>
    </row>
    <row r="415" spans="1:10" ht="15">
      <c r="A415" t="s">
        <v>443</v>
      </c>
      <c r="B415" s="105"/>
      <c r="C415">
        <f t="shared" si="24"/>
        <v>2</v>
      </c>
      <c r="D415" s="77">
        <f t="shared" si="24"/>
        <v>425</v>
      </c>
      <c r="E415" s="10"/>
      <c r="F415" s="10">
        <f t="shared" si="25"/>
        <v>850</v>
      </c>
      <c r="H415" s="77"/>
      <c r="J415" s="77"/>
    </row>
    <row r="416" spans="1:10" ht="15">
      <c r="A416" t="s">
        <v>444</v>
      </c>
      <c r="B416" s="105"/>
      <c r="C416">
        <f t="shared" si="24"/>
        <v>48</v>
      </c>
      <c r="D416" s="77">
        <f t="shared" si="24"/>
        <v>750</v>
      </c>
      <c r="E416" s="10"/>
      <c r="F416" s="10">
        <f t="shared" si="25"/>
        <v>36000</v>
      </c>
      <c r="H416" s="77"/>
      <c r="J416" s="77"/>
    </row>
    <row r="417" spans="1:10" ht="15">
      <c r="A417" t="s">
        <v>445</v>
      </c>
      <c r="B417" s="105"/>
      <c r="C417">
        <f t="shared" si="24"/>
        <v>1</v>
      </c>
      <c r="D417" s="77">
        <f t="shared" si="24"/>
        <v>10000</v>
      </c>
      <c r="E417" s="10"/>
      <c r="F417" s="10">
        <v>10000</v>
      </c>
      <c r="H417" s="77"/>
      <c r="J417" s="77"/>
    </row>
    <row r="418" spans="1:10" ht="15">
      <c r="A418" t="s">
        <v>446</v>
      </c>
      <c r="B418" s="105"/>
      <c r="C418" s="10">
        <f t="shared" si="24"/>
        <v>0.2293801652892562</v>
      </c>
      <c r="D418" s="77">
        <f t="shared" si="24"/>
        <v>50000</v>
      </c>
      <c r="E418" s="10"/>
      <c r="F418" s="10">
        <f aca="true" t="shared" si="26" ref="F418:F425">+C418*D418</f>
        <v>11469.00826446281</v>
      </c>
      <c r="H418" s="77"/>
      <c r="J418" s="77"/>
    </row>
    <row r="419" spans="1:10" ht="15">
      <c r="A419" t="s">
        <v>447</v>
      </c>
      <c r="B419" s="105"/>
      <c r="C419">
        <f t="shared" si="24"/>
        <v>4</v>
      </c>
      <c r="D419" s="77">
        <f t="shared" si="24"/>
        <v>1000</v>
      </c>
      <c r="E419" s="10"/>
      <c r="F419" s="10">
        <f t="shared" si="26"/>
        <v>4000</v>
      </c>
      <c r="H419" s="77"/>
      <c r="J419" s="77"/>
    </row>
    <row r="420" spans="1:10" ht="15">
      <c r="A420" t="s">
        <v>448</v>
      </c>
      <c r="B420" s="105"/>
      <c r="C420">
        <f t="shared" si="24"/>
        <v>2</v>
      </c>
      <c r="D420" s="77">
        <f t="shared" si="24"/>
        <v>425</v>
      </c>
      <c r="E420" s="10"/>
      <c r="F420" s="10">
        <f t="shared" si="26"/>
        <v>850</v>
      </c>
      <c r="H420" s="77"/>
      <c r="J420" s="77"/>
    </row>
    <row r="421" spans="1:10" ht="15">
      <c r="A421" t="s">
        <v>449</v>
      </c>
      <c r="B421" s="105"/>
      <c r="C421">
        <f t="shared" si="24"/>
        <v>1</v>
      </c>
      <c r="D421" s="77">
        <f t="shared" si="24"/>
        <v>2500</v>
      </c>
      <c r="E421" s="10"/>
      <c r="F421" s="10">
        <f t="shared" si="26"/>
        <v>2500</v>
      </c>
      <c r="H421" s="77"/>
      <c r="J421" s="77"/>
    </row>
    <row r="422" spans="1:10" ht="15">
      <c r="A422" t="s">
        <v>450</v>
      </c>
      <c r="B422" s="105"/>
      <c r="C422">
        <f aca="true" t="shared" si="27" ref="C422:D425">+C317</f>
        <v>2</v>
      </c>
      <c r="D422" s="77">
        <f t="shared" si="27"/>
        <v>260</v>
      </c>
      <c r="E422" s="10"/>
      <c r="F422" s="10">
        <f t="shared" si="26"/>
        <v>520</v>
      </c>
      <c r="H422" s="77"/>
      <c r="J422" s="77"/>
    </row>
    <row r="423" spans="1:10" ht="15">
      <c r="A423" t="s">
        <v>451</v>
      </c>
      <c r="B423" s="105"/>
      <c r="C423">
        <f t="shared" si="27"/>
        <v>2</v>
      </c>
      <c r="D423" s="77">
        <f t="shared" si="27"/>
        <v>500</v>
      </c>
      <c r="E423" s="10"/>
      <c r="F423" s="10">
        <f t="shared" si="26"/>
        <v>1000</v>
      </c>
      <c r="H423" s="77"/>
      <c r="J423" s="77"/>
    </row>
    <row r="424" spans="1:10" ht="15">
      <c r="A424" t="s">
        <v>452</v>
      </c>
      <c r="B424" s="105"/>
      <c r="C424">
        <f t="shared" si="27"/>
        <v>1</v>
      </c>
      <c r="D424" s="77">
        <f t="shared" si="27"/>
        <v>5000</v>
      </c>
      <c r="E424" s="10"/>
      <c r="F424" s="10">
        <f t="shared" si="26"/>
        <v>5000</v>
      </c>
      <c r="G424" s="32" t="s">
        <v>473</v>
      </c>
      <c r="H424" s="157" t="s">
        <v>474</v>
      </c>
      <c r="J424" s="77"/>
    </row>
    <row r="425" spans="1:10" ht="15">
      <c r="A425" t="s">
        <v>196</v>
      </c>
      <c r="B425" s="105"/>
      <c r="C425">
        <f t="shared" si="27"/>
        <v>1</v>
      </c>
      <c r="D425" s="77">
        <f t="shared" si="27"/>
        <v>26655.09</v>
      </c>
      <c r="E425" s="10"/>
      <c r="F425" s="10">
        <f t="shared" si="26"/>
        <v>26655.09</v>
      </c>
      <c r="G425" s="44">
        <f>SUM(F346:F425)</f>
        <v>311537.49826446286</v>
      </c>
      <c r="H425" s="156">
        <f>+G425/48</f>
        <v>6490.364547176309</v>
      </c>
      <c r="J425" s="77"/>
    </row>
    <row r="426" spans="2:10" ht="15">
      <c r="B426" s="105"/>
      <c r="D426" s="77"/>
      <c r="E426" s="10"/>
      <c r="F426" s="10"/>
      <c r="G426" s="10"/>
      <c r="H426" s="77"/>
      <c r="J426" s="77"/>
    </row>
    <row r="427" spans="1:10" ht="15">
      <c r="A427" s="2" t="s">
        <v>457</v>
      </c>
      <c r="B427" s="105"/>
      <c r="D427" s="77"/>
      <c r="E427" s="10"/>
      <c r="F427" s="10"/>
      <c r="G427" s="10"/>
      <c r="H427" s="77"/>
      <c r="J427" s="77"/>
    </row>
    <row r="428" spans="2:10" ht="15">
      <c r="B428" s="32" t="s">
        <v>458</v>
      </c>
      <c r="C428" s="32" t="s">
        <v>459</v>
      </c>
      <c r="D428" s="32" t="s">
        <v>460</v>
      </c>
      <c r="E428" s="32" t="s">
        <v>461</v>
      </c>
      <c r="F428" s="143" t="s">
        <v>462</v>
      </c>
      <c r="G428" s="115" t="s">
        <v>463</v>
      </c>
      <c r="H428" s="143" t="s">
        <v>464</v>
      </c>
      <c r="J428" s="77"/>
    </row>
    <row r="429" spans="1:10" ht="15">
      <c r="A429" t="s">
        <v>465</v>
      </c>
      <c r="B429" s="105">
        <f>20*20</f>
        <v>400</v>
      </c>
      <c r="C429">
        <f>+J23</f>
        <v>2</v>
      </c>
      <c r="D429">
        <f>+B429*C429</f>
        <v>800</v>
      </c>
      <c r="E429" s="144">
        <f>+D429/D433</f>
        <v>0.030534351145038167</v>
      </c>
      <c r="F429" s="77">
        <f>+G435</f>
        <v>311537.49826446286</v>
      </c>
      <c r="G429" s="10">
        <f>+E429*F429</f>
        <v>9512.595366853828</v>
      </c>
      <c r="H429" s="77">
        <f>+G429/C429</f>
        <v>4756.297683426914</v>
      </c>
      <c r="J429" s="77"/>
    </row>
    <row r="430" spans="1:10" ht="15">
      <c r="A430" t="s">
        <v>466</v>
      </c>
      <c r="B430" s="105">
        <f>20*25</f>
        <v>500</v>
      </c>
      <c r="C430">
        <f>+J24</f>
        <v>22</v>
      </c>
      <c r="D430">
        <f>+B430*C430</f>
        <v>11000</v>
      </c>
      <c r="E430" s="144">
        <f>+D430/D433</f>
        <v>0.4198473282442748</v>
      </c>
      <c r="F430" s="77">
        <f>+F429</f>
        <v>311537.49826446286</v>
      </c>
      <c r="G430" s="10">
        <f>+E430*F430</f>
        <v>130798.18629424012</v>
      </c>
      <c r="H430" s="77">
        <f>+G430/C430</f>
        <v>5945.372104283641</v>
      </c>
      <c r="J430" s="77"/>
    </row>
    <row r="431" spans="1:10" ht="15">
      <c r="A431" t="s">
        <v>467</v>
      </c>
      <c r="B431" s="105">
        <f>20*30</f>
        <v>600</v>
      </c>
      <c r="C431">
        <f>+J25</f>
        <v>24</v>
      </c>
      <c r="D431">
        <f>+B431*C431</f>
        <v>14400</v>
      </c>
      <c r="E431" s="144">
        <f>+D431/D433</f>
        <v>0.549618320610687</v>
      </c>
      <c r="F431" s="77">
        <f>+F429</f>
        <v>311537.49826446286</v>
      </c>
      <c r="G431" s="10">
        <f>+E431*F431</f>
        <v>171226.7166033689</v>
      </c>
      <c r="H431" s="77">
        <f>+G431/C431</f>
        <v>7134.446525140371</v>
      </c>
      <c r="J431" s="77"/>
    </row>
    <row r="432" spans="2:10" ht="15">
      <c r="B432" s="105"/>
      <c r="E432" s="144"/>
      <c r="F432" s="77"/>
      <c r="G432" s="10"/>
      <c r="H432" s="77"/>
      <c r="J432" s="77"/>
    </row>
    <row r="433" spans="1:10" ht="15">
      <c r="A433" s="2" t="s">
        <v>72</v>
      </c>
      <c r="B433" s="145">
        <f>SUM(B429:B431)</f>
        <v>1500</v>
      </c>
      <c r="D433">
        <f>SUM(D429:D431)</f>
        <v>26200</v>
      </c>
      <c r="E433" s="146">
        <f>SUM(E429:E431)</f>
        <v>1</v>
      </c>
      <c r="F433" s="147"/>
      <c r="G433" s="148">
        <f>SUM(G429:G431)</f>
        <v>311537.4982644628</v>
      </c>
      <c r="H433" s="77"/>
      <c r="J433" s="77"/>
    </row>
    <row r="434" spans="2:10" ht="15">
      <c r="B434" s="105"/>
      <c r="D434" s="77"/>
      <c r="E434" s="10"/>
      <c r="F434" s="10"/>
      <c r="G434" s="10"/>
      <c r="H434" s="77"/>
      <c r="J434" s="77"/>
    </row>
    <row r="435" spans="1:10" ht="15">
      <c r="A435" s="54" t="s">
        <v>468</v>
      </c>
      <c r="B435" s="54"/>
      <c r="C435" s="54"/>
      <c r="D435" s="54"/>
      <c r="E435" s="136"/>
      <c r="F435" s="123"/>
      <c r="G435" s="149">
        <f>SUM(F346:F425)</f>
        <v>311537.49826446286</v>
      </c>
      <c r="H435" s="149">
        <f>+G435/48</f>
        <v>6490.364547176309</v>
      </c>
      <c r="J435" s="77"/>
    </row>
    <row r="436" spans="5:10" ht="15">
      <c r="E436" s="135"/>
      <c r="F436" s="77"/>
      <c r="G436" s="95"/>
      <c r="H436" s="77"/>
      <c r="J436" s="77"/>
    </row>
    <row r="437" spans="5:10" ht="15">
      <c r="E437" s="135"/>
      <c r="F437" s="77"/>
      <c r="G437" s="95"/>
      <c r="H437" s="77"/>
      <c r="J437" s="77"/>
    </row>
    <row r="438" spans="5:10" ht="15">
      <c r="E438" s="135"/>
      <c r="F438" s="77"/>
      <c r="G438" s="95"/>
      <c r="H438" s="77"/>
      <c r="J438" s="77"/>
    </row>
    <row r="439" spans="5:8" ht="15">
      <c r="E439" s="135"/>
      <c r="F439" s="135"/>
      <c r="G439" s="95"/>
      <c r="H439" s="77"/>
    </row>
    <row r="440" spans="1:13" ht="15">
      <c r="A440" s="97"/>
      <c r="B440" s="32"/>
      <c r="C440" s="32"/>
      <c r="D440" s="32"/>
      <c r="E440" s="32" t="s">
        <v>80</v>
      </c>
      <c r="F440" s="32" t="s">
        <v>469</v>
      </c>
      <c r="H440" s="64"/>
      <c r="I440" s="98"/>
      <c r="J440" s="99"/>
      <c r="K440" s="64"/>
      <c r="L440" s="64"/>
      <c r="M440" s="64"/>
    </row>
    <row r="441" spans="1:13" ht="15">
      <c r="A441" s="137" t="s">
        <v>307</v>
      </c>
      <c r="C441" s="150"/>
      <c r="D441" s="151"/>
      <c r="H441" s="64"/>
      <c r="I441" s="64"/>
      <c r="J441" s="64"/>
      <c r="K441" s="64"/>
      <c r="L441" s="64"/>
      <c r="M441" s="64"/>
    </row>
    <row r="442" spans="1:13" ht="15">
      <c r="A442" s="97" t="s">
        <v>470</v>
      </c>
      <c r="B442" s="10">
        <f>+B77*1.1</f>
        <v>48.400000000000006</v>
      </c>
      <c r="C442" s="30">
        <f>+J23</f>
        <v>2</v>
      </c>
      <c r="D442" s="10">
        <f>+G85</f>
        <v>55</v>
      </c>
      <c r="F442" s="77">
        <f>+B442*C442*D442</f>
        <v>5324.000000000001</v>
      </c>
      <c r="H442" s="64"/>
      <c r="I442" s="100"/>
      <c r="J442" s="101"/>
      <c r="K442" s="101"/>
      <c r="L442" s="152"/>
      <c r="M442" s="153"/>
    </row>
    <row r="443" spans="1:13" ht="15">
      <c r="A443" s="97" t="s">
        <v>471</v>
      </c>
      <c r="B443" s="10">
        <f>+B442</f>
        <v>48.400000000000006</v>
      </c>
      <c r="C443" s="30">
        <f>+C442</f>
        <v>2</v>
      </c>
      <c r="D443" s="10">
        <f>+D348</f>
        <v>6</v>
      </c>
      <c r="F443" s="77">
        <f>+B443*C443*D443</f>
        <v>580.8000000000001</v>
      </c>
      <c r="H443" s="64"/>
      <c r="I443" s="100"/>
      <c r="J443" s="101"/>
      <c r="K443" s="101"/>
      <c r="L443" s="152"/>
      <c r="M443" s="153"/>
    </row>
    <row r="444" spans="1:13" ht="15">
      <c r="A444" t="s">
        <v>472</v>
      </c>
      <c r="B444" s="30">
        <f>+C106</f>
        <v>2</v>
      </c>
      <c r="C444">
        <f>+J23</f>
        <v>2</v>
      </c>
      <c r="D444" s="10">
        <f>+D106</f>
        <v>150</v>
      </c>
      <c r="E444" s="10"/>
      <c r="F444" s="77">
        <f aca="true" t="shared" si="28" ref="F444:F495">+B444*C444*D444</f>
        <v>600</v>
      </c>
      <c r="G444" s="10"/>
      <c r="H444" s="153"/>
      <c r="I444" s="64"/>
      <c r="J444" s="64"/>
      <c r="K444" s="64"/>
      <c r="L444" s="64"/>
      <c r="M444" s="64"/>
    </row>
    <row r="445" spans="1:13" ht="15">
      <c r="A445" t="s">
        <v>303</v>
      </c>
      <c r="B445">
        <f>+C111/48</f>
        <v>1</v>
      </c>
      <c r="C445">
        <f>C444</f>
        <v>2</v>
      </c>
      <c r="D445" s="10">
        <f>+D111</f>
        <v>100</v>
      </c>
      <c r="F445" s="77">
        <f t="shared" si="28"/>
        <v>200</v>
      </c>
      <c r="H445" s="64"/>
      <c r="I445" s="64"/>
      <c r="J445" s="64"/>
      <c r="K445" s="64"/>
      <c r="L445" s="64"/>
      <c r="M445" s="64"/>
    </row>
    <row r="446" spans="1:13" ht="15">
      <c r="A446" t="s">
        <v>305</v>
      </c>
      <c r="B446">
        <f>+C112/48</f>
        <v>1</v>
      </c>
      <c r="C446">
        <f aca="true" t="shared" si="29" ref="C446:C452">C445</f>
        <v>2</v>
      </c>
      <c r="D446" s="10">
        <f>+D112</f>
        <v>16</v>
      </c>
      <c r="F446" s="77">
        <f t="shared" si="28"/>
        <v>32</v>
      </c>
      <c r="H446" s="64"/>
      <c r="I446" s="102"/>
      <c r="J446" s="101"/>
      <c r="K446" s="101"/>
      <c r="L446" s="64"/>
      <c r="M446" s="64"/>
    </row>
    <row r="447" spans="1:13" ht="15">
      <c r="A447" t="s">
        <v>306</v>
      </c>
      <c r="B447">
        <f>+C113/48</f>
        <v>1</v>
      </c>
      <c r="C447">
        <f t="shared" si="29"/>
        <v>2</v>
      </c>
      <c r="D447" s="10">
        <f>+D113</f>
        <v>1</v>
      </c>
      <c r="F447" s="77">
        <f t="shared" si="28"/>
        <v>2</v>
      </c>
      <c r="H447" s="64"/>
      <c r="I447" s="102"/>
      <c r="J447" s="101"/>
      <c r="K447" s="101"/>
      <c r="L447" s="64"/>
      <c r="M447" s="64"/>
    </row>
    <row r="448" spans="1:13" ht="15">
      <c r="A448" t="s">
        <v>308</v>
      </c>
      <c r="B448">
        <f>+C115/J23</f>
        <v>2</v>
      </c>
      <c r="C448">
        <f t="shared" si="29"/>
        <v>2</v>
      </c>
      <c r="D448" s="10">
        <f>+D115</f>
        <v>50</v>
      </c>
      <c r="F448" s="77">
        <f t="shared" si="28"/>
        <v>200</v>
      </c>
      <c r="H448" s="64"/>
      <c r="I448" s="102"/>
      <c r="J448" s="101"/>
      <c r="K448" s="101"/>
      <c r="L448" s="64"/>
      <c r="M448" s="64"/>
    </row>
    <row r="449" spans="1:13" ht="15">
      <c r="A449" t="s">
        <v>309</v>
      </c>
      <c r="B449">
        <f>+B448</f>
        <v>2</v>
      </c>
      <c r="C449">
        <f t="shared" si="29"/>
        <v>2</v>
      </c>
      <c r="D449" s="10">
        <f>+D116</f>
        <v>1</v>
      </c>
      <c r="F449" s="77">
        <f t="shared" si="28"/>
        <v>4</v>
      </c>
      <c r="H449" s="64"/>
      <c r="I449" s="102"/>
      <c r="J449" s="101"/>
      <c r="K449" s="101"/>
      <c r="L449" s="64"/>
      <c r="M449" s="64"/>
    </row>
    <row r="450" spans="1:13" ht="15">
      <c r="A450" t="s">
        <v>310</v>
      </c>
      <c r="B450">
        <f>+B448</f>
        <v>2</v>
      </c>
      <c r="C450">
        <f t="shared" si="29"/>
        <v>2</v>
      </c>
      <c r="D450" s="10">
        <f>+D117</f>
        <v>16</v>
      </c>
      <c r="F450" s="77">
        <f t="shared" si="28"/>
        <v>64</v>
      </c>
      <c r="H450" s="64"/>
      <c r="I450" s="102"/>
      <c r="J450" s="101"/>
      <c r="K450" s="101"/>
      <c r="L450" s="64"/>
      <c r="M450" s="64"/>
    </row>
    <row r="451" spans="1:13" ht="15">
      <c r="A451" t="s">
        <v>324</v>
      </c>
      <c r="B451" s="118">
        <f>+B138</f>
        <v>350</v>
      </c>
      <c r="C451">
        <f t="shared" si="29"/>
        <v>2</v>
      </c>
      <c r="D451" s="76">
        <f aca="true" t="shared" si="30" ref="D451:D468">+D138</f>
        <v>0.174</v>
      </c>
      <c r="F451" s="77">
        <f t="shared" si="28"/>
        <v>121.8</v>
      </c>
      <c r="H451" s="64"/>
      <c r="I451" s="102"/>
      <c r="J451" s="101"/>
      <c r="K451" s="101"/>
      <c r="L451" s="64"/>
      <c r="M451" s="64"/>
    </row>
    <row r="452" spans="1:13" ht="15">
      <c r="A452" t="s">
        <v>326</v>
      </c>
      <c r="B452" s="118">
        <f>+B139</f>
        <v>275</v>
      </c>
      <c r="C452">
        <f t="shared" si="29"/>
        <v>2</v>
      </c>
      <c r="D452" s="76">
        <f t="shared" si="30"/>
        <v>0.13</v>
      </c>
      <c r="F452" s="77">
        <f t="shared" si="28"/>
        <v>71.5</v>
      </c>
      <c r="H452" s="64"/>
      <c r="I452" s="102"/>
      <c r="J452" s="101"/>
      <c r="K452" s="101"/>
      <c r="L452" s="64"/>
      <c r="M452" s="64"/>
    </row>
    <row r="453" spans="1:13" ht="15">
      <c r="A453" t="s">
        <v>328</v>
      </c>
      <c r="B453" s="105">
        <v>18</v>
      </c>
      <c r="C453">
        <f>+C450</f>
        <v>2</v>
      </c>
      <c r="D453" s="76">
        <f t="shared" si="30"/>
        <v>0.5</v>
      </c>
      <c r="F453" s="77">
        <f t="shared" si="28"/>
        <v>18</v>
      </c>
      <c r="H453" s="64"/>
      <c r="I453" s="102"/>
      <c r="J453" s="101"/>
      <c r="K453" s="101"/>
      <c r="L453" s="64"/>
      <c r="M453" s="64"/>
    </row>
    <row r="454" spans="1:13" ht="15">
      <c r="A454" t="s">
        <v>329</v>
      </c>
      <c r="B454" s="105">
        <f>+B453</f>
        <v>18</v>
      </c>
      <c r="C454">
        <f aca="true" t="shared" si="31" ref="C454:C463">+C453</f>
        <v>2</v>
      </c>
      <c r="D454" s="76">
        <f t="shared" si="30"/>
        <v>0.15</v>
      </c>
      <c r="F454" s="77">
        <f t="shared" si="28"/>
        <v>5.3999999999999995</v>
      </c>
      <c r="H454" s="64"/>
      <c r="I454" s="102"/>
      <c r="J454" s="101"/>
      <c r="K454" s="101"/>
      <c r="L454" s="64"/>
      <c r="M454" s="64"/>
    </row>
    <row r="455" spans="1:13" ht="15">
      <c r="A455" t="str">
        <f>+A142</f>
        <v>Ceramic Lights-2 per room</v>
      </c>
      <c r="B455" s="105">
        <v>10</v>
      </c>
      <c r="C455">
        <f t="shared" si="31"/>
        <v>2</v>
      </c>
      <c r="D455" s="76">
        <f t="shared" si="30"/>
        <v>0.55</v>
      </c>
      <c r="F455" s="77">
        <f t="shared" si="28"/>
        <v>11</v>
      </c>
      <c r="H455" s="64"/>
      <c r="I455" s="102"/>
      <c r="J455" s="101"/>
      <c r="K455" s="101"/>
      <c r="L455" s="64"/>
      <c r="M455" s="64"/>
    </row>
    <row r="456" spans="1:13" ht="15">
      <c r="A456" t="s">
        <v>345</v>
      </c>
      <c r="B456" s="105">
        <f>+B455</f>
        <v>10</v>
      </c>
      <c r="C456">
        <f t="shared" si="31"/>
        <v>2</v>
      </c>
      <c r="D456" s="76">
        <f t="shared" si="30"/>
        <v>0.5</v>
      </c>
      <c r="F456" s="77">
        <f t="shared" si="28"/>
        <v>10</v>
      </c>
      <c r="H456" s="64"/>
      <c r="I456" s="102"/>
      <c r="J456" s="101"/>
      <c r="K456" s="101"/>
      <c r="L456" s="64"/>
      <c r="M456" s="64"/>
    </row>
    <row r="457" spans="1:13" ht="15">
      <c r="A457" t="s">
        <v>346</v>
      </c>
      <c r="B457" s="105">
        <f>+B455</f>
        <v>10</v>
      </c>
      <c r="C457">
        <f t="shared" si="31"/>
        <v>2</v>
      </c>
      <c r="D457" s="76">
        <f t="shared" si="30"/>
        <v>0.15</v>
      </c>
      <c r="F457" s="77">
        <f t="shared" si="28"/>
        <v>3</v>
      </c>
      <c r="H457" s="64"/>
      <c r="I457" s="102"/>
      <c r="J457" s="101"/>
      <c r="K457" s="101"/>
      <c r="L457" s="64"/>
      <c r="M457" s="64"/>
    </row>
    <row r="458" spans="1:13" ht="15">
      <c r="A458" t="s">
        <v>333</v>
      </c>
      <c r="B458" s="105">
        <f>+B145</f>
        <v>2</v>
      </c>
      <c r="C458">
        <f t="shared" si="31"/>
        <v>2</v>
      </c>
      <c r="D458" s="76">
        <f t="shared" si="30"/>
        <v>0.55</v>
      </c>
      <c r="F458" s="77">
        <f t="shared" si="28"/>
        <v>2.2</v>
      </c>
      <c r="H458" s="64"/>
      <c r="I458" s="102"/>
      <c r="J458" s="101"/>
      <c r="K458" s="101"/>
      <c r="L458" s="64"/>
      <c r="M458" s="64"/>
    </row>
    <row r="459" spans="1:13" ht="15">
      <c r="A459" t="s">
        <v>334</v>
      </c>
      <c r="B459" s="105">
        <f>+B146</f>
        <v>2</v>
      </c>
      <c r="C459">
        <f t="shared" si="31"/>
        <v>2</v>
      </c>
      <c r="D459" s="76">
        <f t="shared" si="30"/>
        <v>0.5</v>
      </c>
      <c r="F459" s="77">
        <f t="shared" si="28"/>
        <v>2</v>
      </c>
      <c r="H459" s="64"/>
      <c r="I459" s="102"/>
      <c r="J459" s="101"/>
      <c r="K459" s="101"/>
      <c r="L459" s="64"/>
      <c r="M459" s="64"/>
    </row>
    <row r="460" spans="1:13" ht="15">
      <c r="A460" t="s">
        <v>335</v>
      </c>
      <c r="B460" s="105">
        <f>+B147</f>
        <v>2</v>
      </c>
      <c r="C460">
        <f t="shared" si="31"/>
        <v>2</v>
      </c>
      <c r="D460" s="76">
        <f t="shared" si="30"/>
        <v>0.15</v>
      </c>
      <c r="F460" s="77">
        <f t="shared" si="28"/>
        <v>0.6</v>
      </c>
      <c r="H460" s="64"/>
      <c r="I460" s="102"/>
      <c r="J460" s="101"/>
      <c r="K460" s="101"/>
      <c r="L460" s="64"/>
      <c r="M460" s="64"/>
    </row>
    <row r="461" spans="1:13" ht="15">
      <c r="A461" t="s">
        <v>336</v>
      </c>
      <c r="B461" s="105">
        <f>+B453</f>
        <v>18</v>
      </c>
      <c r="C461">
        <f>+C457</f>
        <v>2</v>
      </c>
      <c r="D461" s="76">
        <f t="shared" si="30"/>
        <v>0.6</v>
      </c>
      <c r="F461" s="77">
        <f t="shared" si="28"/>
        <v>21.599999999999998</v>
      </c>
      <c r="H461" s="64"/>
      <c r="I461" s="102"/>
      <c r="J461" s="101"/>
      <c r="K461" s="101"/>
      <c r="L461" s="64"/>
      <c r="M461" s="64"/>
    </row>
    <row r="462" spans="1:13" ht="15">
      <c r="A462" t="s">
        <v>337</v>
      </c>
      <c r="B462" s="105">
        <f>+B455+B458</f>
        <v>12</v>
      </c>
      <c r="C462">
        <f t="shared" si="31"/>
        <v>2</v>
      </c>
      <c r="D462" s="76">
        <f t="shared" si="30"/>
        <v>1</v>
      </c>
      <c r="F462" s="77">
        <f t="shared" si="28"/>
        <v>24</v>
      </c>
      <c r="H462" s="64"/>
      <c r="I462" s="102"/>
      <c r="J462" s="101"/>
      <c r="K462" s="101"/>
      <c r="L462" s="64"/>
      <c r="M462" s="64"/>
    </row>
    <row r="463" spans="1:13" ht="15">
      <c r="A463" t="s">
        <v>338</v>
      </c>
      <c r="B463" s="105">
        <f>+B462</f>
        <v>12</v>
      </c>
      <c r="C463">
        <f t="shared" si="31"/>
        <v>2</v>
      </c>
      <c r="D463" s="76">
        <f t="shared" si="30"/>
        <v>0.8</v>
      </c>
      <c r="F463" s="77">
        <f t="shared" si="28"/>
        <v>19.200000000000003</v>
      </c>
      <c r="H463" s="64"/>
      <c r="I463" s="102"/>
      <c r="J463" s="101"/>
      <c r="K463" s="101"/>
      <c r="L463" s="64"/>
      <c r="M463" s="64"/>
    </row>
    <row r="464" spans="1:13" ht="15">
      <c r="A464" t="s">
        <v>339</v>
      </c>
      <c r="B464" s="105">
        <v>1</v>
      </c>
      <c r="C464">
        <f>+C457</f>
        <v>2</v>
      </c>
      <c r="D464" s="76">
        <f t="shared" si="30"/>
        <v>30</v>
      </c>
      <c r="F464" s="77">
        <f t="shared" si="28"/>
        <v>60</v>
      </c>
      <c r="H464" s="64"/>
      <c r="I464" s="102"/>
      <c r="J464" s="101"/>
      <c r="K464" s="101"/>
      <c r="L464" s="64"/>
      <c r="M464" s="64"/>
    </row>
    <row r="465" spans="1:13" ht="15">
      <c r="A465" t="s">
        <v>340</v>
      </c>
      <c r="B465" s="105">
        <v>4</v>
      </c>
      <c r="C465">
        <f>+C461</f>
        <v>2</v>
      </c>
      <c r="D465" s="76">
        <f t="shared" si="30"/>
        <v>5.25</v>
      </c>
      <c r="F465" s="77">
        <f t="shared" si="28"/>
        <v>42</v>
      </c>
      <c r="H465" s="64"/>
      <c r="I465" s="102"/>
      <c r="J465" s="101"/>
      <c r="K465" s="101"/>
      <c r="L465" s="64"/>
      <c r="M465" s="64"/>
    </row>
    <row r="466" spans="1:13" ht="15">
      <c r="A466" t="s">
        <v>341</v>
      </c>
      <c r="B466" s="105">
        <v>1</v>
      </c>
      <c r="C466">
        <f>+C462</f>
        <v>2</v>
      </c>
      <c r="D466" s="76">
        <f t="shared" si="30"/>
        <v>52</v>
      </c>
      <c r="F466" s="77">
        <f t="shared" si="28"/>
        <v>104</v>
      </c>
      <c r="H466" s="64"/>
      <c r="I466" s="102"/>
      <c r="J466" s="101"/>
      <c r="K466" s="101"/>
      <c r="L466" s="64"/>
      <c r="M466" s="64"/>
    </row>
    <row r="467" spans="1:13" ht="15">
      <c r="A467" t="s">
        <v>342</v>
      </c>
      <c r="B467" s="105">
        <v>1</v>
      </c>
      <c r="C467">
        <f>+C463</f>
        <v>2</v>
      </c>
      <c r="D467" s="76">
        <f t="shared" si="30"/>
        <v>2.1</v>
      </c>
      <c r="F467" s="77">
        <f t="shared" si="28"/>
        <v>4.2</v>
      </c>
      <c r="H467" s="64"/>
      <c r="I467" s="102"/>
      <c r="J467" s="101"/>
      <c r="K467" s="101"/>
      <c r="L467" s="64"/>
      <c r="M467" s="64"/>
    </row>
    <row r="468" spans="1:13" ht="15">
      <c r="A468" t="s">
        <v>343</v>
      </c>
      <c r="B468" s="105">
        <v>2</v>
      </c>
      <c r="C468">
        <f>+C464</f>
        <v>2</v>
      </c>
      <c r="D468" s="76">
        <f t="shared" si="30"/>
        <v>12.5</v>
      </c>
      <c r="F468" s="77">
        <f t="shared" si="28"/>
        <v>50</v>
      </c>
      <c r="G468" s="154">
        <f>SUM(F451:F468)</f>
        <v>570.5</v>
      </c>
      <c r="H468" s="64"/>
      <c r="I468" s="102"/>
      <c r="J468" s="101"/>
      <c r="K468" s="101"/>
      <c r="L468" s="64"/>
      <c r="M468" s="64"/>
    </row>
    <row r="469" spans="1:13" ht="15">
      <c r="A469" t="s">
        <v>397</v>
      </c>
      <c r="B469">
        <v>1</v>
      </c>
      <c r="C469">
        <f aca="true" t="shared" si="32" ref="C469:C476">+C465</f>
        <v>2</v>
      </c>
      <c r="D469" s="10">
        <f>+D258</f>
        <v>165</v>
      </c>
      <c r="F469" s="77">
        <f t="shared" si="28"/>
        <v>330</v>
      </c>
      <c r="H469" s="64"/>
      <c r="I469" s="102"/>
      <c r="J469" s="101"/>
      <c r="K469" s="101"/>
      <c r="L469" s="64"/>
      <c r="M469" s="64"/>
    </row>
    <row r="470" spans="1:13" ht="15">
      <c r="A470" t="s">
        <v>398</v>
      </c>
      <c r="B470">
        <v>1</v>
      </c>
      <c r="C470">
        <f t="shared" si="32"/>
        <v>2</v>
      </c>
      <c r="D470" s="10">
        <f aca="true" t="shared" si="33" ref="D470:D476">+D259</f>
        <v>300</v>
      </c>
      <c r="F470" s="77">
        <f t="shared" si="28"/>
        <v>600</v>
      </c>
      <c r="H470" s="64"/>
      <c r="I470" s="102"/>
      <c r="J470" s="101"/>
      <c r="K470" s="101"/>
      <c r="L470" s="64"/>
      <c r="M470" s="64"/>
    </row>
    <row r="471" spans="1:13" ht="15">
      <c r="A471" t="s">
        <v>400</v>
      </c>
      <c r="B471">
        <v>1</v>
      </c>
      <c r="C471">
        <f t="shared" si="32"/>
        <v>2</v>
      </c>
      <c r="D471" s="10">
        <f t="shared" si="33"/>
        <v>150</v>
      </c>
      <c r="F471" s="77">
        <f t="shared" si="28"/>
        <v>300</v>
      </c>
      <c r="H471" s="64"/>
      <c r="I471" s="102"/>
      <c r="J471" s="101"/>
      <c r="K471" s="101"/>
      <c r="L471" s="64"/>
      <c r="M471" s="64"/>
    </row>
    <row r="472" spans="1:13" ht="15">
      <c r="A472" t="s">
        <v>401</v>
      </c>
      <c r="B472">
        <v>1</v>
      </c>
      <c r="C472">
        <f t="shared" si="32"/>
        <v>2</v>
      </c>
      <c r="D472" s="10">
        <f t="shared" si="33"/>
        <v>75</v>
      </c>
      <c r="F472" s="77">
        <f t="shared" si="28"/>
        <v>150</v>
      </c>
      <c r="H472" s="64"/>
      <c r="I472" s="102"/>
      <c r="J472" s="101"/>
      <c r="K472" s="101"/>
      <c r="L472" s="64"/>
      <c r="M472" s="64"/>
    </row>
    <row r="473" spans="1:13" ht="15">
      <c r="A473" t="s">
        <v>402</v>
      </c>
      <c r="B473">
        <v>1</v>
      </c>
      <c r="C473">
        <f t="shared" si="32"/>
        <v>2</v>
      </c>
      <c r="D473" s="10">
        <f t="shared" si="33"/>
        <v>75</v>
      </c>
      <c r="F473" s="77">
        <f t="shared" si="28"/>
        <v>150</v>
      </c>
      <c r="H473" s="64"/>
      <c r="I473" s="102"/>
      <c r="J473" s="101"/>
      <c r="K473" s="101"/>
      <c r="L473" s="64"/>
      <c r="M473" s="64"/>
    </row>
    <row r="474" spans="1:13" ht="15">
      <c r="A474" t="s">
        <v>403</v>
      </c>
      <c r="B474">
        <v>1</v>
      </c>
      <c r="C474">
        <f t="shared" si="32"/>
        <v>2</v>
      </c>
      <c r="D474" s="10">
        <f t="shared" si="33"/>
        <v>26</v>
      </c>
      <c r="F474" s="77">
        <f t="shared" si="28"/>
        <v>52</v>
      </c>
      <c r="H474" s="64"/>
      <c r="I474" s="102"/>
      <c r="J474" s="101"/>
      <c r="K474" s="101"/>
      <c r="L474" s="64"/>
      <c r="M474" s="64"/>
    </row>
    <row r="475" spans="1:13" ht="15">
      <c r="A475" t="s">
        <v>405</v>
      </c>
      <c r="B475">
        <v>1</v>
      </c>
      <c r="C475">
        <f t="shared" si="32"/>
        <v>2</v>
      </c>
      <c r="D475" s="10">
        <f t="shared" si="33"/>
        <v>1.55</v>
      </c>
      <c r="F475" s="77">
        <f t="shared" si="28"/>
        <v>3.1</v>
      </c>
      <c r="J475" s="101"/>
      <c r="K475" s="101"/>
      <c r="L475" s="64"/>
      <c r="M475" s="64"/>
    </row>
    <row r="476" spans="1:13" ht="15">
      <c r="A476" s="123" t="s">
        <v>406</v>
      </c>
      <c r="B476">
        <v>1</v>
      </c>
      <c r="C476">
        <f t="shared" si="32"/>
        <v>2</v>
      </c>
      <c r="D476" s="10">
        <f t="shared" si="33"/>
        <v>35</v>
      </c>
      <c r="F476" s="77">
        <f t="shared" si="28"/>
        <v>70</v>
      </c>
      <c r="J476" s="101"/>
      <c r="K476" s="101"/>
      <c r="L476" s="64"/>
      <c r="M476" s="64"/>
    </row>
    <row r="477" spans="6:13" ht="15">
      <c r="F477" s="77"/>
      <c r="G477" s="155"/>
      <c r="H477" s="156"/>
      <c r="J477" s="101"/>
      <c r="K477" s="101"/>
      <c r="L477" s="64"/>
      <c r="M477" s="64"/>
    </row>
    <row r="478" spans="1:13" ht="15">
      <c r="A478" t="s">
        <v>372</v>
      </c>
      <c r="B478" s="105">
        <v>5</v>
      </c>
      <c r="C478">
        <f>+C476</f>
        <v>2</v>
      </c>
      <c r="D478" s="142">
        <v>4.6</v>
      </c>
      <c r="F478" s="77">
        <f t="shared" si="28"/>
        <v>46</v>
      </c>
      <c r="G478" s="155"/>
      <c r="H478" s="156"/>
      <c r="J478" s="101"/>
      <c r="K478" s="101"/>
      <c r="L478" s="64"/>
      <c r="M478" s="64"/>
    </row>
    <row r="479" spans="1:13" ht="15">
      <c r="A479" t="s">
        <v>374</v>
      </c>
      <c r="B479" s="105">
        <v>6</v>
      </c>
      <c r="C479">
        <f>+C478</f>
        <v>2</v>
      </c>
      <c r="D479" s="142">
        <v>1</v>
      </c>
      <c r="F479" s="77">
        <f t="shared" si="28"/>
        <v>12</v>
      </c>
      <c r="G479" s="155"/>
      <c r="H479" s="156"/>
      <c r="J479" s="101"/>
      <c r="K479" s="101"/>
      <c r="L479" s="64"/>
      <c r="M479" s="64"/>
    </row>
    <row r="480" spans="1:13" ht="15">
      <c r="A480" t="s">
        <v>375</v>
      </c>
      <c r="B480" s="105">
        <v>1</v>
      </c>
      <c r="C480">
        <f aca="true" t="shared" si="34" ref="C480:C493">+C478</f>
        <v>2</v>
      </c>
      <c r="D480" s="142">
        <v>10</v>
      </c>
      <c r="F480" s="77">
        <f t="shared" si="28"/>
        <v>20</v>
      </c>
      <c r="G480" s="155"/>
      <c r="H480" s="156"/>
      <c r="J480" s="101"/>
      <c r="K480" s="101"/>
      <c r="L480" s="64"/>
      <c r="M480" s="64"/>
    </row>
    <row r="481" spans="1:13" ht="15">
      <c r="A481" t="s">
        <v>376</v>
      </c>
      <c r="B481" s="105">
        <v>3</v>
      </c>
      <c r="C481">
        <f t="shared" si="34"/>
        <v>2</v>
      </c>
      <c r="D481" s="142">
        <v>5</v>
      </c>
      <c r="F481" s="77">
        <f t="shared" si="28"/>
        <v>30</v>
      </c>
      <c r="G481" s="155"/>
      <c r="H481" s="156"/>
      <c r="J481" s="101"/>
      <c r="K481" s="101"/>
      <c r="L481" s="64"/>
      <c r="M481" s="64"/>
    </row>
    <row r="482" spans="1:13" ht="15">
      <c r="A482" t="s">
        <v>377</v>
      </c>
      <c r="B482" s="105">
        <v>4</v>
      </c>
      <c r="C482">
        <f t="shared" si="34"/>
        <v>2</v>
      </c>
      <c r="D482" s="142">
        <v>5</v>
      </c>
      <c r="F482" s="77">
        <f t="shared" si="28"/>
        <v>40</v>
      </c>
      <c r="G482" s="155"/>
      <c r="H482" s="156"/>
      <c r="J482" s="101"/>
      <c r="K482" s="101"/>
      <c r="L482" s="64"/>
      <c r="M482" s="64"/>
    </row>
    <row r="483" spans="1:13" ht="15">
      <c r="A483" t="s">
        <v>378</v>
      </c>
      <c r="B483" s="105">
        <v>1</v>
      </c>
      <c r="C483">
        <f t="shared" si="34"/>
        <v>2</v>
      </c>
      <c r="D483" s="142">
        <v>1.6</v>
      </c>
      <c r="F483" s="77">
        <f t="shared" si="28"/>
        <v>3.2</v>
      </c>
      <c r="G483" s="155"/>
      <c r="H483" s="156"/>
      <c r="J483" s="101"/>
      <c r="K483" s="101"/>
      <c r="L483" s="64"/>
      <c r="M483" s="64"/>
    </row>
    <row r="484" spans="1:13" ht="15">
      <c r="A484" s="78" t="s">
        <v>379</v>
      </c>
      <c r="B484" s="105">
        <v>4</v>
      </c>
      <c r="C484">
        <f t="shared" si="34"/>
        <v>2</v>
      </c>
      <c r="D484" s="142">
        <v>1.25</v>
      </c>
      <c r="F484" s="77">
        <f t="shared" si="28"/>
        <v>10</v>
      </c>
      <c r="G484" s="155"/>
      <c r="H484" s="156"/>
      <c r="J484" s="101"/>
      <c r="K484" s="101"/>
      <c r="L484" s="64"/>
      <c r="M484" s="64"/>
    </row>
    <row r="485" spans="1:13" ht="15">
      <c r="A485" t="s">
        <v>380</v>
      </c>
      <c r="B485" s="105">
        <v>1</v>
      </c>
      <c r="C485">
        <f t="shared" si="34"/>
        <v>2</v>
      </c>
      <c r="D485" s="142">
        <v>50</v>
      </c>
      <c r="F485" s="77">
        <f t="shared" si="28"/>
        <v>100</v>
      </c>
      <c r="G485" s="155"/>
      <c r="H485" s="156"/>
      <c r="J485" s="101"/>
      <c r="K485" s="101"/>
      <c r="L485" s="64"/>
      <c r="M485" s="64"/>
    </row>
    <row r="486" spans="1:13" ht="15">
      <c r="A486" t="s">
        <v>490</v>
      </c>
      <c r="B486" s="105">
        <v>1</v>
      </c>
      <c r="C486">
        <f>+C485</f>
        <v>2</v>
      </c>
      <c r="D486" s="76">
        <v>75</v>
      </c>
      <c r="F486" s="77">
        <f t="shared" si="28"/>
        <v>150</v>
      </c>
      <c r="G486" s="155"/>
      <c r="H486" s="156"/>
      <c r="J486" s="101"/>
      <c r="K486" s="101"/>
      <c r="L486" s="64"/>
      <c r="M486" s="64"/>
    </row>
    <row r="487" spans="1:13" ht="15">
      <c r="A487" t="s">
        <v>381</v>
      </c>
      <c r="B487" s="105">
        <v>1</v>
      </c>
      <c r="C487">
        <f>+C484</f>
        <v>2</v>
      </c>
      <c r="D487" s="142">
        <v>26</v>
      </c>
      <c r="F487" s="77">
        <f t="shared" si="28"/>
        <v>52</v>
      </c>
      <c r="G487" s="155"/>
      <c r="H487" s="156"/>
      <c r="J487" s="101"/>
      <c r="K487" s="101"/>
      <c r="L487" s="64"/>
      <c r="M487" s="64"/>
    </row>
    <row r="488" spans="1:13" ht="15">
      <c r="A488" t="s">
        <v>382</v>
      </c>
      <c r="B488" s="105">
        <v>1</v>
      </c>
      <c r="C488">
        <f>+C485</f>
        <v>2</v>
      </c>
      <c r="D488" s="142">
        <v>45</v>
      </c>
      <c r="F488" s="77">
        <f t="shared" si="28"/>
        <v>90</v>
      </c>
      <c r="G488" s="155"/>
      <c r="H488" s="156"/>
      <c r="J488" s="101"/>
      <c r="K488" s="101"/>
      <c r="L488" s="64"/>
      <c r="M488" s="64"/>
    </row>
    <row r="489" spans="1:13" ht="15">
      <c r="A489" t="s">
        <v>383</v>
      </c>
      <c r="B489" s="105">
        <v>1</v>
      </c>
      <c r="C489">
        <f t="shared" si="34"/>
        <v>2</v>
      </c>
      <c r="D489" s="142">
        <v>30</v>
      </c>
      <c r="F489" s="77">
        <f t="shared" si="28"/>
        <v>60</v>
      </c>
      <c r="G489" s="155"/>
      <c r="H489" s="156"/>
      <c r="J489" s="101"/>
      <c r="K489" s="101"/>
      <c r="L489" s="64"/>
      <c r="M489" s="64"/>
    </row>
    <row r="490" spans="1:13" ht="15">
      <c r="A490" t="s">
        <v>384</v>
      </c>
      <c r="B490" s="105">
        <v>1</v>
      </c>
      <c r="C490">
        <f t="shared" si="34"/>
        <v>2</v>
      </c>
      <c r="D490" s="142">
        <v>35</v>
      </c>
      <c r="F490" s="77">
        <f t="shared" si="28"/>
        <v>70</v>
      </c>
      <c r="G490" s="155"/>
      <c r="H490" s="156"/>
      <c r="J490" s="101"/>
      <c r="K490" s="101"/>
      <c r="L490" s="64"/>
      <c r="M490" s="64"/>
    </row>
    <row r="491" spans="1:13" ht="15">
      <c r="A491" s="120" t="s">
        <v>409</v>
      </c>
      <c r="B491" s="105">
        <f>20*20</f>
        <v>400</v>
      </c>
      <c r="C491">
        <f t="shared" si="34"/>
        <v>2</v>
      </c>
      <c r="D491" s="10">
        <f>+D390</f>
        <v>1</v>
      </c>
      <c r="F491" s="77">
        <f t="shared" si="28"/>
        <v>800</v>
      </c>
      <c r="G491" s="155"/>
      <c r="H491" s="156"/>
      <c r="J491" s="101"/>
      <c r="K491" s="101"/>
      <c r="L491" s="64"/>
      <c r="M491" s="64"/>
    </row>
    <row r="492" spans="1:13" ht="15">
      <c r="A492" s="120" t="s">
        <v>410</v>
      </c>
      <c r="B492" s="105">
        <v>1</v>
      </c>
      <c r="C492">
        <f t="shared" si="34"/>
        <v>2</v>
      </c>
      <c r="D492" s="10">
        <f>+D391</f>
        <v>125</v>
      </c>
      <c r="F492" s="77">
        <f t="shared" si="28"/>
        <v>250</v>
      </c>
      <c r="G492" s="155"/>
      <c r="H492" s="156"/>
      <c r="J492" s="101"/>
      <c r="K492" s="101"/>
      <c r="L492" s="64"/>
      <c r="M492" s="64"/>
    </row>
    <row r="493" spans="1:13" ht="15">
      <c r="A493" t="s">
        <v>411</v>
      </c>
      <c r="B493" s="105">
        <v>6</v>
      </c>
      <c r="C493">
        <f t="shared" si="34"/>
        <v>2</v>
      </c>
      <c r="D493" s="10">
        <f>+D392</f>
        <v>6.2</v>
      </c>
      <c r="F493" s="77">
        <f t="shared" si="28"/>
        <v>74.4</v>
      </c>
      <c r="G493" s="155"/>
      <c r="H493" s="156"/>
      <c r="J493" s="101"/>
      <c r="K493" s="101"/>
      <c r="L493" s="64"/>
      <c r="M493" s="64"/>
    </row>
    <row r="494" spans="6:13" ht="15">
      <c r="F494" s="77">
        <f t="shared" si="28"/>
        <v>0</v>
      </c>
      <c r="G494" s="155"/>
      <c r="H494" s="156"/>
      <c r="J494" s="101"/>
      <c r="K494" s="101"/>
      <c r="L494" s="64"/>
      <c r="M494" s="64"/>
    </row>
    <row r="495" spans="1:13" ht="15">
      <c r="A495" s="120" t="s">
        <v>361</v>
      </c>
      <c r="B495" s="121">
        <v>1</v>
      </c>
      <c r="C495">
        <f>+C493</f>
        <v>2</v>
      </c>
      <c r="D495" s="76">
        <v>1500</v>
      </c>
      <c r="F495" s="77">
        <f t="shared" si="28"/>
        <v>3000</v>
      </c>
      <c r="I495" s="102"/>
      <c r="J495" s="101"/>
      <c r="K495" s="101"/>
      <c r="L495" s="64"/>
      <c r="M495" s="64"/>
    </row>
    <row r="496" spans="1:13" ht="15">
      <c r="A496" s="120"/>
      <c r="B496" s="121"/>
      <c r="D496" s="76"/>
      <c r="F496" s="77"/>
      <c r="I496" s="102"/>
      <c r="J496" s="101"/>
      <c r="K496" s="101"/>
      <c r="L496" s="64"/>
      <c r="M496" s="64"/>
    </row>
    <row r="497" spans="1:13" ht="15">
      <c r="A497" s="120"/>
      <c r="B497" s="121"/>
      <c r="D497" s="76"/>
      <c r="F497" s="77"/>
      <c r="G497" s="32" t="s">
        <v>473</v>
      </c>
      <c r="H497" s="157" t="s">
        <v>474</v>
      </c>
      <c r="I497" s="102"/>
      <c r="J497" s="101"/>
      <c r="K497" s="101"/>
      <c r="L497" s="64"/>
      <c r="M497" s="64"/>
    </row>
    <row r="498" spans="1:13" ht="15">
      <c r="A498" s="158" t="s">
        <v>475</v>
      </c>
      <c r="G498" s="156">
        <f>SUM(F441:F498)</f>
        <v>14040.000000000002</v>
      </c>
      <c r="H498" s="159">
        <f>+G498/J23</f>
        <v>7020.000000000001</v>
      </c>
      <c r="J498" s="101"/>
      <c r="K498" s="101"/>
      <c r="L498" s="64"/>
      <c r="M498" s="64"/>
    </row>
    <row r="499" spans="1:13" ht="15">
      <c r="A499" s="158"/>
      <c r="G499" s="156"/>
      <c r="H499" s="159"/>
      <c r="J499" s="101"/>
      <c r="K499" s="101"/>
      <c r="L499" s="64"/>
      <c r="M499" s="64"/>
    </row>
    <row r="500" spans="1:13" ht="15">
      <c r="A500" s="158" t="s">
        <v>476</v>
      </c>
      <c r="G500" s="156">
        <f>+G429</f>
        <v>9512.595366853828</v>
      </c>
      <c r="H500" s="159">
        <f>+H429</f>
        <v>4756.297683426914</v>
      </c>
      <c r="J500" s="101"/>
      <c r="K500" s="101"/>
      <c r="L500" s="64"/>
      <c r="M500" s="64"/>
    </row>
    <row r="501" spans="1:13" ht="15">
      <c r="A501" s="158"/>
      <c r="G501" s="156"/>
      <c r="H501" s="159"/>
      <c r="J501" s="101"/>
      <c r="K501" s="101"/>
      <c r="L501" s="64"/>
      <c r="M501" s="64"/>
    </row>
    <row r="502" spans="1:13" ht="15">
      <c r="A502" s="158" t="s">
        <v>477</v>
      </c>
      <c r="G502" s="156">
        <f>SUM(G498:G500)</f>
        <v>23552.595366853828</v>
      </c>
      <c r="H502" s="160">
        <f>SUM(H498:H500)</f>
        <v>11776.297683426914</v>
      </c>
      <c r="J502" s="101"/>
      <c r="K502" s="101"/>
      <c r="L502" s="64"/>
      <c r="M502" s="64"/>
    </row>
    <row r="503" spans="1:13" ht="15">
      <c r="A503" s="97"/>
      <c r="G503" s="155"/>
      <c r="H503" s="156"/>
      <c r="I503" s="102"/>
      <c r="J503" s="101"/>
      <c r="K503" s="101"/>
      <c r="L503" s="64"/>
      <c r="M503" s="64"/>
    </row>
    <row r="504" spans="1:13" ht="15">
      <c r="A504" s="161" t="s">
        <v>478</v>
      </c>
      <c r="C504" s="150"/>
      <c r="D504" s="151"/>
      <c r="H504" s="64"/>
      <c r="I504" s="102"/>
      <c r="J504" s="101"/>
      <c r="K504" s="101"/>
      <c r="L504" s="64"/>
      <c r="M504" s="64"/>
    </row>
    <row r="505" spans="1:13" ht="15">
      <c r="A505" s="97" t="str">
        <f>+A442</f>
        <v>Panels- Interior rooms</v>
      </c>
      <c r="B505" s="10">
        <f>+B78*1.1</f>
        <v>50.6</v>
      </c>
      <c r="C505" s="30">
        <f>+C78</f>
        <v>22</v>
      </c>
      <c r="D505" s="10">
        <f>+D442</f>
        <v>55</v>
      </c>
      <c r="F505" s="77">
        <f>+B505*C505*D505</f>
        <v>61226</v>
      </c>
      <c r="H505" s="64"/>
      <c r="I505" s="102"/>
      <c r="J505" s="101"/>
      <c r="K505" s="101"/>
      <c r="L505" s="64"/>
      <c r="M505" s="64"/>
    </row>
    <row r="506" spans="1:13" ht="15">
      <c r="A506" s="97" t="s">
        <v>471</v>
      </c>
      <c r="B506" s="10">
        <f>+B505</f>
        <v>50.6</v>
      </c>
      <c r="C506" s="30">
        <f>+C505</f>
        <v>22</v>
      </c>
      <c r="D506" s="10">
        <f>+D443</f>
        <v>6</v>
      </c>
      <c r="F506" s="77">
        <f>+B506*C506*D506</f>
        <v>6679.200000000001</v>
      </c>
      <c r="H506" s="64"/>
      <c r="I506" s="102"/>
      <c r="J506" s="101"/>
      <c r="K506" s="101"/>
      <c r="L506" s="64"/>
      <c r="M506" s="64"/>
    </row>
    <row r="507" spans="1:13" ht="15">
      <c r="A507" t="str">
        <f>+A444</f>
        <v>2 windows</v>
      </c>
      <c r="B507">
        <f>+B444</f>
        <v>2</v>
      </c>
      <c r="C507" s="30">
        <f>+C505</f>
        <v>22</v>
      </c>
      <c r="D507" s="10">
        <f>+D444</f>
        <v>150</v>
      </c>
      <c r="F507" s="77">
        <f aca="true" t="shared" si="35" ref="F507:F558">+B507*C507*D507</f>
        <v>6600</v>
      </c>
      <c r="H507" s="64"/>
      <c r="I507" s="102"/>
      <c r="J507" s="101"/>
      <c r="K507" s="101"/>
      <c r="L507" s="64"/>
      <c r="M507" s="64"/>
    </row>
    <row r="508" spans="1:13" ht="15">
      <c r="A508" t="s">
        <v>303</v>
      </c>
      <c r="B508">
        <f>+C111/48</f>
        <v>1</v>
      </c>
      <c r="C508" s="30">
        <f aca="true" t="shared" si="36" ref="C508:C515">+C507</f>
        <v>22</v>
      </c>
      <c r="D508" s="10">
        <f>+D111</f>
        <v>100</v>
      </c>
      <c r="F508" s="77">
        <f t="shared" si="35"/>
        <v>2200</v>
      </c>
      <c r="H508" s="64"/>
      <c r="I508" s="102"/>
      <c r="J508" s="101"/>
      <c r="K508" s="101"/>
      <c r="L508" s="64"/>
      <c r="M508" s="64"/>
    </row>
    <row r="509" spans="1:13" ht="15">
      <c r="A509" t="s">
        <v>305</v>
      </c>
      <c r="B509">
        <f>+C112/48</f>
        <v>1</v>
      </c>
      <c r="C509" s="30">
        <f t="shared" si="36"/>
        <v>22</v>
      </c>
      <c r="D509" s="10">
        <f>+D112</f>
        <v>16</v>
      </c>
      <c r="F509" s="77">
        <f t="shared" si="35"/>
        <v>352</v>
      </c>
      <c r="H509" s="64"/>
      <c r="I509" s="102"/>
      <c r="J509" s="101"/>
      <c r="K509" s="101"/>
      <c r="L509" s="64"/>
      <c r="M509" s="64"/>
    </row>
    <row r="510" spans="1:13" ht="15">
      <c r="A510" t="s">
        <v>306</v>
      </c>
      <c r="B510">
        <f>+C113/48</f>
        <v>1</v>
      </c>
      <c r="C510" s="30">
        <f t="shared" si="36"/>
        <v>22</v>
      </c>
      <c r="D510" s="10">
        <f>+D113</f>
        <v>1</v>
      </c>
      <c r="F510" s="77">
        <f t="shared" si="35"/>
        <v>22</v>
      </c>
      <c r="H510" s="64"/>
      <c r="I510" s="102"/>
      <c r="J510" s="101"/>
      <c r="K510" s="101"/>
      <c r="L510" s="64"/>
      <c r="M510" s="64"/>
    </row>
    <row r="511" spans="1:13" ht="15">
      <c r="A511" t="s">
        <v>312</v>
      </c>
      <c r="B511">
        <f>+C119/J24</f>
        <v>3</v>
      </c>
      <c r="C511" s="30">
        <f t="shared" si="36"/>
        <v>22</v>
      </c>
      <c r="D511" s="10">
        <f>+D119</f>
        <v>50</v>
      </c>
      <c r="F511" s="77">
        <f t="shared" si="35"/>
        <v>3300</v>
      </c>
      <c r="H511" s="64"/>
      <c r="I511" s="102"/>
      <c r="J511" s="101"/>
      <c r="K511" s="101"/>
      <c r="L511" s="64"/>
      <c r="M511" s="64"/>
    </row>
    <row r="512" spans="1:13" ht="15">
      <c r="A512" t="s">
        <v>309</v>
      </c>
      <c r="B512">
        <f>+B511</f>
        <v>3</v>
      </c>
      <c r="C512" s="30">
        <f t="shared" si="36"/>
        <v>22</v>
      </c>
      <c r="D512" s="10">
        <f>+D120</f>
        <v>1</v>
      </c>
      <c r="F512" s="77">
        <f t="shared" si="35"/>
        <v>66</v>
      </c>
      <c r="H512" s="64"/>
      <c r="I512" s="102"/>
      <c r="J512" s="101"/>
      <c r="K512" s="101"/>
      <c r="L512" s="64"/>
      <c r="M512" s="64"/>
    </row>
    <row r="513" spans="1:13" ht="15">
      <c r="A513" t="s">
        <v>310</v>
      </c>
      <c r="B513">
        <f>+B511</f>
        <v>3</v>
      </c>
      <c r="C513" s="30">
        <f t="shared" si="36"/>
        <v>22</v>
      </c>
      <c r="D513" s="10">
        <f>+D121</f>
        <v>16</v>
      </c>
      <c r="F513" s="77">
        <f t="shared" si="35"/>
        <v>1056</v>
      </c>
      <c r="H513" s="64"/>
      <c r="I513" s="102"/>
      <c r="J513" s="101"/>
      <c r="K513" s="101"/>
      <c r="L513" s="64"/>
      <c r="M513" s="64"/>
    </row>
    <row r="514" spans="1:13" ht="15">
      <c r="A514" t="s">
        <v>324</v>
      </c>
      <c r="B514" s="118">
        <f>B158</f>
        <v>400</v>
      </c>
      <c r="C514" s="30">
        <f t="shared" si="36"/>
        <v>22</v>
      </c>
      <c r="D514" s="76">
        <f aca="true" t="shared" si="37" ref="D514:D531">+D158</f>
        <v>0.174</v>
      </c>
      <c r="F514" s="77">
        <f t="shared" si="35"/>
        <v>1531.1999999999998</v>
      </c>
      <c r="H514" s="64"/>
      <c r="I514" s="102"/>
      <c r="J514" s="101"/>
      <c r="K514" s="101"/>
      <c r="L514" s="64"/>
      <c r="M514" s="64"/>
    </row>
    <row r="515" spans="1:13" ht="15">
      <c r="A515" t="s">
        <v>326</v>
      </c>
      <c r="B515" s="118">
        <f>B159</f>
        <v>350</v>
      </c>
      <c r="C515" s="30">
        <f t="shared" si="36"/>
        <v>22</v>
      </c>
      <c r="D515" s="76">
        <f t="shared" si="37"/>
        <v>0.13</v>
      </c>
      <c r="F515" s="77">
        <f t="shared" si="35"/>
        <v>1001</v>
      </c>
      <c r="H515" s="64"/>
      <c r="I515" s="102"/>
      <c r="J515" s="101"/>
      <c r="K515" s="101"/>
      <c r="L515" s="64"/>
      <c r="M515" s="64"/>
    </row>
    <row r="516" spans="1:13" ht="15">
      <c r="A516" t="s">
        <v>328</v>
      </c>
      <c r="B516" s="105">
        <v>22</v>
      </c>
      <c r="C516" s="30">
        <f>+C513</f>
        <v>22</v>
      </c>
      <c r="D516" s="76">
        <f t="shared" si="37"/>
        <v>0.5</v>
      </c>
      <c r="F516" s="77">
        <f t="shared" si="35"/>
        <v>242</v>
      </c>
      <c r="H516" s="64"/>
      <c r="I516" s="102"/>
      <c r="J516" s="101"/>
      <c r="K516" s="101"/>
      <c r="L516" s="64"/>
      <c r="M516" s="64"/>
    </row>
    <row r="517" spans="1:13" ht="15">
      <c r="A517" t="s">
        <v>329</v>
      </c>
      <c r="B517" s="105">
        <f>+B516</f>
        <v>22</v>
      </c>
      <c r="C517" s="30">
        <f aca="true" t="shared" si="38" ref="C517:C530">+C516</f>
        <v>22</v>
      </c>
      <c r="D517" s="76">
        <f t="shared" si="37"/>
        <v>0.15</v>
      </c>
      <c r="F517" s="77">
        <f t="shared" si="35"/>
        <v>72.6</v>
      </c>
      <c r="H517" s="64"/>
      <c r="I517" s="102"/>
      <c r="J517" s="101"/>
      <c r="K517" s="101"/>
      <c r="L517" s="64"/>
      <c r="M517" s="64"/>
    </row>
    <row r="518" spans="1:13" ht="15">
      <c r="A518" t="str">
        <f>+A455</f>
        <v>Ceramic Lights-2 per room</v>
      </c>
      <c r="B518" s="105">
        <v>12</v>
      </c>
      <c r="C518" s="30">
        <f t="shared" si="38"/>
        <v>22</v>
      </c>
      <c r="D518" s="76">
        <f t="shared" si="37"/>
        <v>0.55</v>
      </c>
      <c r="F518" s="77">
        <f t="shared" si="35"/>
        <v>145.20000000000002</v>
      </c>
      <c r="H518" s="64"/>
      <c r="I518" s="102"/>
      <c r="J518" s="101"/>
      <c r="K518" s="101"/>
      <c r="L518" s="64"/>
      <c r="M518" s="64"/>
    </row>
    <row r="519" spans="1:13" ht="15">
      <c r="A519" t="s">
        <v>345</v>
      </c>
      <c r="B519" s="105">
        <f>+B518</f>
        <v>12</v>
      </c>
      <c r="C519" s="30">
        <f t="shared" si="38"/>
        <v>22</v>
      </c>
      <c r="D519" s="76">
        <f t="shared" si="37"/>
        <v>0.5</v>
      </c>
      <c r="F519" s="77">
        <f t="shared" si="35"/>
        <v>132</v>
      </c>
      <c r="H519" s="64"/>
      <c r="I519" s="102"/>
      <c r="J519" s="101"/>
      <c r="K519" s="101"/>
      <c r="L519" s="64"/>
      <c r="M519" s="64"/>
    </row>
    <row r="520" spans="1:13" ht="15">
      <c r="A520" t="s">
        <v>346</v>
      </c>
      <c r="B520" s="105">
        <f>+B518</f>
        <v>12</v>
      </c>
      <c r="C520" s="30">
        <f t="shared" si="38"/>
        <v>22</v>
      </c>
      <c r="D520" s="76">
        <f t="shared" si="37"/>
        <v>0.15</v>
      </c>
      <c r="F520" s="77">
        <f t="shared" si="35"/>
        <v>39.6</v>
      </c>
      <c r="H520" s="64"/>
      <c r="I520" s="102"/>
      <c r="J520" s="101"/>
      <c r="K520" s="101"/>
      <c r="L520" s="64"/>
      <c r="M520" s="64"/>
    </row>
    <row r="521" spans="1:13" ht="15">
      <c r="A521" t="s">
        <v>333</v>
      </c>
      <c r="B521" s="105">
        <v>2</v>
      </c>
      <c r="C521" s="30">
        <f t="shared" si="38"/>
        <v>22</v>
      </c>
      <c r="D521" s="76">
        <f t="shared" si="37"/>
        <v>0.55</v>
      </c>
      <c r="F521" s="77">
        <f t="shared" si="35"/>
        <v>24.200000000000003</v>
      </c>
      <c r="H521" s="64"/>
      <c r="I521" s="102"/>
      <c r="J521" s="101"/>
      <c r="K521" s="101"/>
      <c r="L521" s="64"/>
      <c r="M521" s="64"/>
    </row>
    <row r="522" spans="1:13" ht="15">
      <c r="A522" t="s">
        <v>334</v>
      </c>
      <c r="B522" s="105">
        <v>2</v>
      </c>
      <c r="C522" s="30">
        <f t="shared" si="38"/>
        <v>22</v>
      </c>
      <c r="D522" s="76">
        <f t="shared" si="37"/>
        <v>0.5</v>
      </c>
      <c r="F522" s="77">
        <f t="shared" si="35"/>
        <v>22</v>
      </c>
      <c r="H522" s="64"/>
      <c r="I522" s="102"/>
      <c r="J522" s="101"/>
      <c r="K522" s="101"/>
      <c r="L522" s="64"/>
      <c r="M522" s="64"/>
    </row>
    <row r="523" spans="1:13" ht="15">
      <c r="A523" t="s">
        <v>335</v>
      </c>
      <c r="B523" s="105">
        <v>2</v>
      </c>
      <c r="C523" s="30">
        <f t="shared" si="38"/>
        <v>22</v>
      </c>
      <c r="D523" s="76">
        <f t="shared" si="37"/>
        <v>0.15</v>
      </c>
      <c r="F523" s="77">
        <f t="shared" si="35"/>
        <v>6.6</v>
      </c>
      <c r="H523" s="64"/>
      <c r="I523" s="102"/>
      <c r="J523" s="101"/>
      <c r="K523" s="101"/>
      <c r="L523" s="64"/>
      <c r="M523" s="64"/>
    </row>
    <row r="524" spans="1:13" ht="15">
      <c r="A524" t="s">
        <v>336</v>
      </c>
      <c r="B524" s="105">
        <f>+B516</f>
        <v>22</v>
      </c>
      <c r="C524" s="30">
        <f t="shared" si="38"/>
        <v>22</v>
      </c>
      <c r="D524" s="76">
        <f t="shared" si="37"/>
        <v>0.6</v>
      </c>
      <c r="F524" s="77">
        <f t="shared" si="35"/>
        <v>290.4</v>
      </c>
      <c r="H524" s="64"/>
      <c r="I524" s="102"/>
      <c r="J524" s="101"/>
      <c r="K524" s="101"/>
      <c r="L524" s="64"/>
      <c r="M524" s="64"/>
    </row>
    <row r="525" spans="1:13" ht="15">
      <c r="A525" t="s">
        <v>337</v>
      </c>
      <c r="B525" s="105">
        <f>+B518+B521</f>
        <v>14</v>
      </c>
      <c r="C525" s="30">
        <f t="shared" si="38"/>
        <v>22</v>
      </c>
      <c r="D525" s="76">
        <f t="shared" si="37"/>
        <v>1</v>
      </c>
      <c r="F525" s="77">
        <f t="shared" si="35"/>
        <v>308</v>
      </c>
      <c r="H525" s="64"/>
      <c r="I525" s="102"/>
      <c r="J525" s="101"/>
      <c r="K525" s="101"/>
      <c r="L525" s="64"/>
      <c r="M525" s="64"/>
    </row>
    <row r="526" spans="1:13" ht="15">
      <c r="A526" t="s">
        <v>338</v>
      </c>
      <c r="B526" s="105">
        <f>+B525</f>
        <v>14</v>
      </c>
      <c r="C526" s="30">
        <f t="shared" si="38"/>
        <v>22</v>
      </c>
      <c r="D526" s="76">
        <f t="shared" si="37"/>
        <v>0.8</v>
      </c>
      <c r="F526" s="77">
        <f t="shared" si="35"/>
        <v>246.4</v>
      </c>
      <c r="H526" s="64"/>
      <c r="I526" s="102"/>
      <c r="J526" s="101"/>
      <c r="K526" s="101"/>
      <c r="L526" s="64"/>
      <c r="M526" s="64"/>
    </row>
    <row r="527" spans="1:13" ht="15">
      <c r="A527" t="s">
        <v>339</v>
      </c>
      <c r="B527" s="105">
        <v>1</v>
      </c>
      <c r="C527" s="30">
        <f>+C526</f>
        <v>22</v>
      </c>
      <c r="D527" s="76">
        <f t="shared" si="37"/>
        <v>30</v>
      </c>
      <c r="F527" s="77">
        <f t="shared" si="35"/>
        <v>660</v>
      </c>
      <c r="H527" s="64"/>
      <c r="I527" s="102"/>
      <c r="J527" s="101"/>
      <c r="K527" s="101"/>
      <c r="L527" s="64"/>
      <c r="M527" s="64"/>
    </row>
    <row r="528" spans="1:13" ht="15">
      <c r="A528" t="s">
        <v>340</v>
      </c>
      <c r="B528" s="105">
        <v>4</v>
      </c>
      <c r="C528" s="30">
        <f>+C526</f>
        <v>22</v>
      </c>
      <c r="D528" s="76">
        <f t="shared" si="37"/>
        <v>5.25</v>
      </c>
      <c r="F528" s="77">
        <f t="shared" si="35"/>
        <v>462</v>
      </c>
      <c r="H528" s="64"/>
      <c r="I528" s="102"/>
      <c r="J528" s="101"/>
      <c r="K528" s="101"/>
      <c r="L528" s="64"/>
      <c r="M528" s="64"/>
    </row>
    <row r="529" spans="1:13" ht="15">
      <c r="A529" t="s">
        <v>341</v>
      </c>
      <c r="B529" s="105">
        <v>1</v>
      </c>
      <c r="C529" s="30">
        <f t="shared" si="38"/>
        <v>22</v>
      </c>
      <c r="D529" s="76">
        <f t="shared" si="37"/>
        <v>52</v>
      </c>
      <c r="F529" s="77">
        <f t="shared" si="35"/>
        <v>1144</v>
      </c>
      <c r="H529" s="64"/>
      <c r="I529" s="102"/>
      <c r="J529" s="101"/>
      <c r="K529" s="101"/>
      <c r="L529" s="64"/>
      <c r="M529" s="64"/>
    </row>
    <row r="530" spans="1:13" ht="15">
      <c r="A530" t="s">
        <v>342</v>
      </c>
      <c r="B530" s="105">
        <v>1</v>
      </c>
      <c r="C530" s="30">
        <f t="shared" si="38"/>
        <v>22</v>
      </c>
      <c r="D530" s="76">
        <f t="shared" si="37"/>
        <v>2.1</v>
      </c>
      <c r="F530" s="77">
        <f t="shared" si="35"/>
        <v>46.2</v>
      </c>
      <c r="H530" s="64"/>
      <c r="I530" s="102"/>
      <c r="J530" s="101"/>
      <c r="K530" s="101"/>
      <c r="L530" s="64"/>
      <c r="M530" s="64"/>
    </row>
    <row r="531" spans="1:13" ht="15">
      <c r="A531" t="s">
        <v>343</v>
      </c>
      <c r="B531" s="105">
        <v>3</v>
      </c>
      <c r="C531" s="30">
        <f>+C530</f>
        <v>22</v>
      </c>
      <c r="D531" s="76">
        <f t="shared" si="37"/>
        <v>12.5</v>
      </c>
      <c r="F531" s="77">
        <f t="shared" si="35"/>
        <v>825</v>
      </c>
      <c r="G531" s="154">
        <f>SUM(F514:F531)</f>
        <v>7198.399999999999</v>
      </c>
      <c r="H531" s="64"/>
      <c r="I531" s="102"/>
      <c r="J531" s="101"/>
      <c r="K531" s="101"/>
      <c r="L531" s="64"/>
      <c r="M531" s="64"/>
    </row>
    <row r="532" spans="1:13" ht="15">
      <c r="A532" t="s">
        <v>397</v>
      </c>
      <c r="B532">
        <v>1</v>
      </c>
      <c r="C532" s="30">
        <f>+C530</f>
        <v>22</v>
      </c>
      <c r="D532" s="76">
        <f>+D469</f>
        <v>165</v>
      </c>
      <c r="F532" s="77">
        <f t="shared" si="35"/>
        <v>3630</v>
      </c>
      <c r="G532" s="154"/>
      <c r="H532" s="64"/>
      <c r="I532" s="102"/>
      <c r="J532" s="101"/>
      <c r="K532" s="101"/>
      <c r="L532" s="64"/>
      <c r="M532" s="64"/>
    </row>
    <row r="533" spans="1:13" ht="15">
      <c r="A533" t="s">
        <v>398</v>
      </c>
      <c r="B533">
        <v>1</v>
      </c>
      <c r="C533" s="30">
        <f aca="true" t="shared" si="39" ref="C533:C539">+C531</f>
        <v>22</v>
      </c>
      <c r="D533" s="76">
        <f aca="true" t="shared" si="40" ref="D533:D539">+D470</f>
        <v>300</v>
      </c>
      <c r="F533" s="77">
        <f t="shared" si="35"/>
        <v>6600</v>
      </c>
      <c r="G533" s="154"/>
      <c r="H533" s="64"/>
      <c r="I533" s="102"/>
      <c r="J533" s="101"/>
      <c r="K533" s="101"/>
      <c r="L533" s="64"/>
      <c r="M533" s="64"/>
    </row>
    <row r="534" spans="1:13" ht="15">
      <c r="A534" t="s">
        <v>400</v>
      </c>
      <c r="B534">
        <v>1</v>
      </c>
      <c r="C534" s="30">
        <f t="shared" si="39"/>
        <v>22</v>
      </c>
      <c r="D534" s="76">
        <f t="shared" si="40"/>
        <v>150</v>
      </c>
      <c r="F534" s="77">
        <f t="shared" si="35"/>
        <v>3300</v>
      </c>
      <c r="G534" s="154"/>
      <c r="H534" s="64"/>
      <c r="I534" s="102"/>
      <c r="J534" s="101"/>
      <c r="K534" s="101"/>
      <c r="L534" s="64"/>
      <c r="M534" s="64"/>
    </row>
    <row r="535" spans="1:13" ht="15">
      <c r="A535" t="s">
        <v>401</v>
      </c>
      <c r="B535">
        <v>1</v>
      </c>
      <c r="C535" s="30">
        <f t="shared" si="39"/>
        <v>22</v>
      </c>
      <c r="D535" s="76">
        <f t="shared" si="40"/>
        <v>75</v>
      </c>
      <c r="F535" s="77">
        <f t="shared" si="35"/>
        <v>1650</v>
      </c>
      <c r="G535" s="154"/>
      <c r="H535" s="64"/>
      <c r="I535" s="102"/>
      <c r="J535" s="101"/>
      <c r="K535" s="101"/>
      <c r="L535" s="64"/>
      <c r="M535" s="64"/>
    </row>
    <row r="536" spans="1:13" ht="15">
      <c r="A536" t="s">
        <v>402</v>
      </c>
      <c r="B536">
        <v>1</v>
      </c>
      <c r="C536" s="30">
        <f t="shared" si="39"/>
        <v>22</v>
      </c>
      <c r="D536" s="76">
        <f t="shared" si="40"/>
        <v>75</v>
      </c>
      <c r="F536" s="77">
        <f t="shared" si="35"/>
        <v>1650</v>
      </c>
      <c r="G536" s="154"/>
      <c r="H536" s="64"/>
      <c r="I536" s="102"/>
      <c r="J536" s="101"/>
      <c r="K536" s="101"/>
      <c r="L536" s="64"/>
      <c r="M536" s="64"/>
    </row>
    <row r="537" spans="1:13" ht="15">
      <c r="A537" t="s">
        <v>403</v>
      </c>
      <c r="B537">
        <v>1</v>
      </c>
      <c r="C537" s="30">
        <f t="shared" si="39"/>
        <v>22</v>
      </c>
      <c r="D537" s="76">
        <f t="shared" si="40"/>
        <v>26</v>
      </c>
      <c r="F537" s="77">
        <f t="shared" si="35"/>
        <v>572</v>
      </c>
      <c r="G537" s="154"/>
      <c r="H537" s="64"/>
      <c r="I537" s="102"/>
      <c r="J537" s="101"/>
      <c r="K537" s="101"/>
      <c r="L537" s="64"/>
      <c r="M537" s="64"/>
    </row>
    <row r="538" spans="1:13" ht="15">
      <c r="A538" t="s">
        <v>405</v>
      </c>
      <c r="B538">
        <v>1</v>
      </c>
      <c r="C538" s="30">
        <f t="shared" si="39"/>
        <v>22</v>
      </c>
      <c r="D538" s="76">
        <f t="shared" si="40"/>
        <v>1.55</v>
      </c>
      <c r="F538" s="77">
        <f t="shared" si="35"/>
        <v>34.1</v>
      </c>
      <c r="I538" s="102"/>
      <c r="J538" s="101"/>
      <c r="K538" s="101"/>
      <c r="L538" s="64"/>
      <c r="M538" s="64"/>
    </row>
    <row r="539" spans="1:13" ht="15">
      <c r="A539" s="123" t="s">
        <v>406</v>
      </c>
      <c r="B539">
        <v>1</v>
      </c>
      <c r="C539" s="30">
        <f t="shared" si="39"/>
        <v>22</v>
      </c>
      <c r="D539" s="76">
        <f t="shared" si="40"/>
        <v>35</v>
      </c>
      <c r="F539" s="77">
        <f t="shared" si="35"/>
        <v>770</v>
      </c>
      <c r="G539" s="44"/>
      <c r="H539" s="162"/>
      <c r="I539" s="102"/>
      <c r="J539" s="101"/>
      <c r="K539" s="101"/>
      <c r="L539" s="64"/>
      <c r="M539" s="64"/>
    </row>
    <row r="540" spans="3:13" ht="15">
      <c r="C540" s="30"/>
      <c r="F540" s="77"/>
      <c r="G540" s="44"/>
      <c r="H540" s="162"/>
      <c r="I540" s="102"/>
      <c r="J540" s="101"/>
      <c r="K540" s="101"/>
      <c r="L540" s="64"/>
      <c r="M540" s="64"/>
    </row>
    <row r="541" spans="1:13" ht="15">
      <c r="A541" t="s">
        <v>372</v>
      </c>
      <c r="B541" s="105">
        <v>5</v>
      </c>
      <c r="C541" s="30">
        <f>+C539</f>
        <v>22</v>
      </c>
      <c r="D541" s="142">
        <v>4.6</v>
      </c>
      <c r="F541" s="77">
        <f t="shared" si="35"/>
        <v>505.99999999999994</v>
      </c>
      <c r="G541" s="44"/>
      <c r="H541" s="162"/>
      <c r="I541" s="102"/>
      <c r="J541" s="101"/>
      <c r="K541" s="101"/>
      <c r="L541" s="64"/>
      <c r="M541" s="64"/>
    </row>
    <row r="542" spans="1:13" ht="15">
      <c r="A542" t="s">
        <v>374</v>
      </c>
      <c r="B542" s="105">
        <v>6</v>
      </c>
      <c r="C542" s="30">
        <f>+C541</f>
        <v>22</v>
      </c>
      <c r="D542" s="142">
        <v>1</v>
      </c>
      <c r="F542" s="77">
        <f t="shared" si="35"/>
        <v>132</v>
      </c>
      <c r="G542" s="44"/>
      <c r="H542" s="162"/>
      <c r="I542" s="102"/>
      <c r="J542" s="101"/>
      <c r="K542" s="101"/>
      <c r="L542" s="64"/>
      <c r="M542" s="64"/>
    </row>
    <row r="543" spans="1:13" ht="15">
      <c r="A543" t="s">
        <v>375</v>
      </c>
      <c r="B543" s="105">
        <v>1</v>
      </c>
      <c r="C543" s="30">
        <f aca="true" t="shared" si="41" ref="C543:C556">+C541</f>
        <v>22</v>
      </c>
      <c r="D543" s="142">
        <v>10</v>
      </c>
      <c r="F543" s="77">
        <f t="shared" si="35"/>
        <v>220</v>
      </c>
      <c r="G543" s="44"/>
      <c r="H543" s="162"/>
      <c r="I543" s="102"/>
      <c r="J543" s="101"/>
      <c r="K543" s="101"/>
      <c r="L543" s="64"/>
      <c r="M543" s="64"/>
    </row>
    <row r="544" spans="1:13" ht="15">
      <c r="A544" t="s">
        <v>376</v>
      </c>
      <c r="B544" s="105">
        <v>3</v>
      </c>
      <c r="C544" s="30">
        <f t="shared" si="41"/>
        <v>22</v>
      </c>
      <c r="D544" s="142">
        <v>5</v>
      </c>
      <c r="F544" s="77">
        <f t="shared" si="35"/>
        <v>330</v>
      </c>
      <c r="G544" s="44"/>
      <c r="H544" s="162"/>
      <c r="I544" s="102"/>
      <c r="J544" s="101"/>
      <c r="K544" s="101"/>
      <c r="L544" s="64"/>
      <c r="M544" s="64"/>
    </row>
    <row r="545" spans="1:13" ht="15">
      <c r="A545" t="s">
        <v>377</v>
      </c>
      <c r="B545" s="105">
        <v>4</v>
      </c>
      <c r="C545" s="30">
        <f t="shared" si="41"/>
        <v>22</v>
      </c>
      <c r="D545" s="142">
        <v>5</v>
      </c>
      <c r="F545" s="77">
        <f t="shared" si="35"/>
        <v>440</v>
      </c>
      <c r="G545" s="44"/>
      <c r="H545" s="162"/>
      <c r="I545" s="102"/>
      <c r="J545" s="101"/>
      <c r="K545" s="101"/>
      <c r="L545" s="64"/>
      <c r="M545" s="64"/>
    </row>
    <row r="546" spans="1:13" ht="15">
      <c r="A546" t="s">
        <v>378</v>
      </c>
      <c r="B546" s="105">
        <v>1</v>
      </c>
      <c r="C546" s="30">
        <f t="shared" si="41"/>
        <v>22</v>
      </c>
      <c r="D546" s="142">
        <v>1.6</v>
      </c>
      <c r="F546" s="77">
        <f t="shared" si="35"/>
        <v>35.2</v>
      </c>
      <c r="G546" s="44"/>
      <c r="H546" s="162"/>
      <c r="I546" s="102"/>
      <c r="J546" s="101"/>
      <c r="K546" s="101"/>
      <c r="L546" s="64"/>
      <c r="M546" s="64"/>
    </row>
    <row r="547" spans="1:13" ht="15">
      <c r="A547" s="78" t="s">
        <v>379</v>
      </c>
      <c r="B547" s="105">
        <v>4</v>
      </c>
      <c r="C547" s="30">
        <f t="shared" si="41"/>
        <v>22</v>
      </c>
      <c r="D547" s="142">
        <v>1.25</v>
      </c>
      <c r="F547" s="77">
        <f t="shared" si="35"/>
        <v>110</v>
      </c>
      <c r="G547" s="44"/>
      <c r="H547" s="162"/>
      <c r="I547" s="102"/>
      <c r="J547" s="101"/>
      <c r="K547" s="101"/>
      <c r="L547" s="64"/>
      <c r="M547" s="64"/>
    </row>
    <row r="548" spans="1:13" ht="15">
      <c r="A548" t="s">
        <v>380</v>
      </c>
      <c r="B548" s="105">
        <v>1</v>
      </c>
      <c r="C548" s="30">
        <f t="shared" si="41"/>
        <v>22</v>
      </c>
      <c r="D548" s="142">
        <v>50</v>
      </c>
      <c r="F548" s="77">
        <f t="shared" si="35"/>
        <v>1100</v>
      </c>
      <c r="G548" s="44"/>
      <c r="H548" s="162"/>
      <c r="I548" s="102"/>
      <c r="J548" s="101"/>
      <c r="K548" s="101"/>
      <c r="L548" s="64"/>
      <c r="M548" s="64"/>
    </row>
    <row r="549" spans="1:13" ht="15">
      <c r="A549" t="str">
        <f>+A486</f>
        <v>Units-Shower: Blocks. Concrete, tile- shower area</v>
      </c>
      <c r="B549" s="105">
        <v>1</v>
      </c>
      <c r="C549" s="30">
        <f>+C548</f>
        <v>22</v>
      </c>
      <c r="D549" s="142">
        <f>+D486</f>
        <v>75</v>
      </c>
      <c r="F549" s="77">
        <f t="shared" si="35"/>
        <v>1650</v>
      </c>
      <c r="G549" s="44"/>
      <c r="H549" s="162"/>
      <c r="I549" s="102"/>
      <c r="J549" s="101"/>
      <c r="K549" s="101"/>
      <c r="L549" s="64"/>
      <c r="M549" s="64"/>
    </row>
    <row r="550" spans="1:13" ht="15">
      <c r="A550" t="s">
        <v>381</v>
      </c>
      <c r="B550" s="105">
        <v>1</v>
      </c>
      <c r="C550" s="30">
        <f>+C547</f>
        <v>22</v>
      </c>
      <c r="D550" s="142">
        <v>26</v>
      </c>
      <c r="F550" s="77">
        <f t="shared" si="35"/>
        <v>572</v>
      </c>
      <c r="G550" s="44"/>
      <c r="H550" s="162"/>
      <c r="I550" s="102"/>
      <c r="J550" s="101"/>
      <c r="K550" s="101"/>
      <c r="L550" s="64"/>
      <c r="M550" s="64"/>
    </row>
    <row r="551" spans="1:13" ht="15">
      <c r="A551" t="s">
        <v>382</v>
      </c>
      <c r="B551" s="105">
        <v>1</v>
      </c>
      <c r="C551" s="30">
        <f>+C548</f>
        <v>22</v>
      </c>
      <c r="D551" s="142">
        <v>45</v>
      </c>
      <c r="F551" s="77">
        <f t="shared" si="35"/>
        <v>990</v>
      </c>
      <c r="G551" s="44"/>
      <c r="H551" s="162"/>
      <c r="I551" s="102"/>
      <c r="J551" s="101"/>
      <c r="K551" s="101"/>
      <c r="L551" s="64"/>
      <c r="M551" s="64"/>
    </row>
    <row r="552" spans="1:13" ht="15">
      <c r="A552" t="s">
        <v>383</v>
      </c>
      <c r="B552" s="105">
        <v>1</v>
      </c>
      <c r="C552" s="30">
        <f t="shared" si="41"/>
        <v>22</v>
      </c>
      <c r="D552" s="142">
        <v>30</v>
      </c>
      <c r="F552" s="77">
        <f t="shared" si="35"/>
        <v>660</v>
      </c>
      <c r="G552" s="44"/>
      <c r="H552" s="162"/>
      <c r="I552" s="102"/>
      <c r="J552" s="101"/>
      <c r="K552" s="101"/>
      <c r="L552" s="64"/>
      <c r="M552" s="64"/>
    </row>
    <row r="553" spans="1:13" ht="15">
      <c r="A553" t="s">
        <v>384</v>
      </c>
      <c r="B553" s="105">
        <v>1</v>
      </c>
      <c r="C553" s="30">
        <f t="shared" si="41"/>
        <v>22</v>
      </c>
      <c r="D553" s="142">
        <v>35</v>
      </c>
      <c r="F553" s="77">
        <f t="shared" si="35"/>
        <v>770</v>
      </c>
      <c r="G553" s="44"/>
      <c r="H553" s="162"/>
      <c r="I553" s="102"/>
      <c r="J553" s="101"/>
      <c r="K553" s="101"/>
      <c r="L553" s="64"/>
      <c r="M553" s="64"/>
    </row>
    <row r="554" spans="1:13" ht="15">
      <c r="A554" t="s">
        <v>413</v>
      </c>
      <c r="B554" s="105">
        <f>20*25</f>
        <v>500</v>
      </c>
      <c r="C554" s="30">
        <f t="shared" si="41"/>
        <v>22</v>
      </c>
      <c r="D554" s="10">
        <f>+D491</f>
        <v>1</v>
      </c>
      <c r="F554" s="77">
        <f t="shared" si="35"/>
        <v>11000</v>
      </c>
      <c r="G554" s="44"/>
      <c r="H554" s="162"/>
      <c r="I554" s="102"/>
      <c r="J554" s="101"/>
      <c r="K554" s="101"/>
      <c r="L554" s="64"/>
      <c r="M554" s="64"/>
    </row>
    <row r="555" spans="1:13" ht="15">
      <c r="A555" t="s">
        <v>414</v>
      </c>
      <c r="B555" s="105">
        <f>+B552</f>
        <v>1</v>
      </c>
      <c r="C555" s="30">
        <f t="shared" si="41"/>
        <v>22</v>
      </c>
      <c r="D555" s="10">
        <f>+D492</f>
        <v>125</v>
      </c>
      <c r="F555" s="77">
        <f t="shared" si="35"/>
        <v>2750</v>
      </c>
      <c r="G555" s="44"/>
      <c r="H555" s="162"/>
      <c r="I555" s="102"/>
      <c r="J555" s="101"/>
      <c r="K555" s="101"/>
      <c r="L555" s="64"/>
      <c r="M555" s="64"/>
    </row>
    <row r="556" spans="1:13" ht="15">
      <c r="A556" t="s">
        <v>415</v>
      </c>
      <c r="B556" s="105">
        <v>8</v>
      </c>
      <c r="C556" s="30">
        <f t="shared" si="41"/>
        <v>22</v>
      </c>
      <c r="D556" s="10">
        <f>+D493</f>
        <v>6.2</v>
      </c>
      <c r="F556" s="77">
        <f t="shared" si="35"/>
        <v>1091.2</v>
      </c>
      <c r="G556" s="44"/>
      <c r="H556" s="162"/>
      <c r="I556" s="102"/>
      <c r="J556" s="101"/>
      <c r="K556" s="101"/>
      <c r="L556" s="64"/>
      <c r="M556" s="64"/>
    </row>
    <row r="557" spans="3:13" ht="15">
      <c r="C557" s="30"/>
      <c r="F557" s="77"/>
      <c r="G557" s="44"/>
      <c r="H557" s="162"/>
      <c r="I557" s="102"/>
      <c r="J557" s="101"/>
      <c r="K557" s="101"/>
      <c r="L557" s="64"/>
      <c r="M557" s="64"/>
    </row>
    <row r="558" spans="1:13" ht="15">
      <c r="A558" t="s">
        <v>362</v>
      </c>
      <c r="B558" s="121">
        <v>1</v>
      </c>
      <c r="C558" s="30">
        <f>+C556</f>
        <v>22</v>
      </c>
      <c r="D558" s="76">
        <v>1700</v>
      </c>
      <c r="F558" s="77">
        <f t="shared" si="35"/>
        <v>37400</v>
      </c>
      <c r="G558" s="44"/>
      <c r="H558" s="162"/>
      <c r="I558" s="102"/>
      <c r="J558" s="101"/>
      <c r="K558" s="101"/>
      <c r="L558" s="64"/>
      <c r="M558" s="64"/>
    </row>
    <row r="559" spans="3:13" ht="15">
      <c r="C559" s="30"/>
      <c r="G559" s="32" t="s">
        <v>473</v>
      </c>
      <c r="H559" s="157" t="s">
        <v>474</v>
      </c>
      <c r="I559" s="102"/>
      <c r="J559" s="101"/>
      <c r="K559" s="101"/>
      <c r="L559" s="64"/>
      <c r="M559" s="64"/>
    </row>
    <row r="560" spans="1:13" ht="15">
      <c r="A560" s="158" t="s">
        <v>475</v>
      </c>
      <c r="C560" s="30"/>
      <c r="G560" s="162">
        <f>SUM(F504:F560)</f>
        <v>166662.09999999998</v>
      </c>
      <c r="H560" s="159">
        <f>+G560/J24</f>
        <v>7575.549999999999</v>
      </c>
      <c r="J560" s="101"/>
      <c r="K560" s="101"/>
      <c r="L560" s="64"/>
      <c r="M560" s="64"/>
    </row>
    <row r="561" spans="1:13" ht="15">
      <c r="A561" s="158"/>
      <c r="C561" s="30"/>
      <c r="G561" s="162"/>
      <c r="H561" s="159"/>
      <c r="J561" s="101"/>
      <c r="K561" s="101"/>
      <c r="L561" s="64"/>
      <c r="M561" s="64"/>
    </row>
    <row r="562" spans="1:13" ht="15">
      <c r="A562" s="158" t="s">
        <v>476</v>
      </c>
      <c r="C562" s="30"/>
      <c r="G562" s="162">
        <f>+G430</f>
        <v>130798.18629424012</v>
      </c>
      <c r="H562" s="160">
        <f>+H430</f>
        <v>5945.372104283641</v>
      </c>
      <c r="J562" s="101"/>
      <c r="K562" s="101"/>
      <c r="L562" s="64"/>
      <c r="M562" s="64"/>
    </row>
    <row r="563" spans="1:13" ht="15">
      <c r="A563" s="158"/>
      <c r="C563" s="30"/>
      <c r="G563" s="162"/>
      <c r="H563" s="159"/>
      <c r="J563" s="101"/>
      <c r="K563" s="101"/>
      <c r="L563" s="64"/>
      <c r="M563" s="64"/>
    </row>
    <row r="564" spans="1:13" ht="15">
      <c r="A564" s="158" t="s">
        <v>477</v>
      </c>
      <c r="C564" s="30"/>
      <c r="G564" s="162">
        <f>SUM(G560:G562)</f>
        <v>297460.2862942401</v>
      </c>
      <c r="H564" s="160">
        <f>SUM(H560:H562)</f>
        <v>13520.92210428364</v>
      </c>
      <c r="J564" s="101"/>
      <c r="K564" s="101"/>
      <c r="L564" s="64"/>
      <c r="M564" s="64"/>
    </row>
    <row r="565" spans="1:13" ht="15">
      <c r="A565" s="97"/>
      <c r="C565" s="30"/>
      <c r="G565" s="162"/>
      <c r="H565" s="44"/>
      <c r="J565" s="101"/>
      <c r="K565" s="101"/>
      <c r="L565" s="64"/>
      <c r="M565" s="64"/>
    </row>
    <row r="566" spans="1:13" ht="15">
      <c r="A566" s="161" t="s">
        <v>479</v>
      </c>
      <c r="C566" s="30"/>
      <c r="D566" s="151"/>
      <c r="H566" s="64"/>
      <c r="I566" s="102"/>
      <c r="J566" s="101"/>
      <c r="K566" s="101"/>
      <c r="L566" s="64"/>
      <c r="M566" s="64"/>
    </row>
    <row r="567" spans="1:13" ht="15">
      <c r="A567" s="97" t="str">
        <f>+A505</f>
        <v>Panels- Interior rooms</v>
      </c>
      <c r="B567" s="10">
        <f>+B79*1.1</f>
        <v>77</v>
      </c>
      <c r="C567" s="30">
        <f>+C79</f>
        <v>24</v>
      </c>
      <c r="D567" s="10">
        <f>+D442</f>
        <v>55</v>
      </c>
      <c r="F567" s="77">
        <f>+B567*C567*D567</f>
        <v>101640</v>
      </c>
      <c r="H567" s="64"/>
      <c r="I567" s="102"/>
      <c r="J567" s="101"/>
      <c r="K567" s="101"/>
      <c r="L567" s="64"/>
      <c r="M567" s="64"/>
    </row>
    <row r="568" spans="1:13" ht="15">
      <c r="A568" s="97" t="s">
        <v>471</v>
      </c>
      <c r="B568" s="10">
        <f>+B567</f>
        <v>77</v>
      </c>
      <c r="C568" s="30">
        <f>+C567</f>
        <v>24</v>
      </c>
      <c r="D568" s="10">
        <f>+D506</f>
        <v>6</v>
      </c>
      <c r="F568" s="77">
        <f>+B568*C568*D568</f>
        <v>11088</v>
      </c>
      <c r="H568" s="64"/>
      <c r="I568" s="102"/>
      <c r="J568" s="101"/>
      <c r="K568" s="101"/>
      <c r="L568" s="64"/>
      <c r="M568" s="64"/>
    </row>
    <row r="569" spans="1:13" ht="15">
      <c r="A569" s="97" t="str">
        <f>+A444</f>
        <v>2 windows</v>
      </c>
      <c r="B569">
        <f>+B444</f>
        <v>2</v>
      </c>
      <c r="C569" s="30">
        <f>+C567</f>
        <v>24</v>
      </c>
      <c r="D569" s="10">
        <f>+D444</f>
        <v>150</v>
      </c>
      <c r="F569" s="77">
        <f aca="true" t="shared" si="42" ref="F569:F621">+B569*C569*D569</f>
        <v>7200</v>
      </c>
      <c r="H569" s="64"/>
      <c r="I569" s="102"/>
      <c r="J569" s="101"/>
      <c r="K569" s="101"/>
      <c r="L569" s="64"/>
      <c r="M569" s="64"/>
    </row>
    <row r="570" spans="1:13" ht="15">
      <c r="A570" t="s">
        <v>303</v>
      </c>
      <c r="B570">
        <f>+C111/48</f>
        <v>1</v>
      </c>
      <c r="C570" s="30">
        <f aca="true" t="shared" si="43" ref="C570:C577">+C569</f>
        <v>24</v>
      </c>
      <c r="D570" s="10">
        <f>+D111</f>
        <v>100</v>
      </c>
      <c r="F570" s="77">
        <f t="shared" si="42"/>
        <v>2400</v>
      </c>
      <c r="H570" s="64"/>
      <c r="I570" s="102"/>
      <c r="J570" s="101"/>
      <c r="K570" s="101"/>
      <c r="L570" s="64"/>
      <c r="M570" s="64"/>
    </row>
    <row r="571" spans="1:11" ht="15">
      <c r="A571" t="s">
        <v>305</v>
      </c>
      <c r="B571">
        <f>+C112/48</f>
        <v>1</v>
      </c>
      <c r="C571" s="30">
        <f t="shared" si="43"/>
        <v>24</v>
      </c>
      <c r="D571" s="10">
        <f>+D112</f>
        <v>16</v>
      </c>
      <c r="F571" s="77">
        <f t="shared" si="42"/>
        <v>384</v>
      </c>
      <c r="I571" s="94"/>
      <c r="J571" s="93"/>
      <c r="K571" s="96"/>
    </row>
    <row r="572" spans="1:11" ht="15">
      <c r="A572" t="s">
        <v>306</v>
      </c>
      <c r="B572">
        <f>+C113/48</f>
        <v>1</v>
      </c>
      <c r="C572" s="30">
        <f t="shared" si="43"/>
        <v>24</v>
      </c>
      <c r="D572" s="10">
        <f>+D113</f>
        <v>1</v>
      </c>
      <c r="F572" s="77">
        <f t="shared" si="42"/>
        <v>24</v>
      </c>
      <c r="I572" s="94"/>
      <c r="J572" s="93"/>
      <c r="K572" s="96"/>
    </row>
    <row r="573" spans="1:11" ht="15">
      <c r="A573" t="s">
        <v>314</v>
      </c>
      <c r="B573">
        <f>+C123/J25</f>
        <v>4</v>
      </c>
      <c r="C573" s="30">
        <f t="shared" si="43"/>
        <v>24</v>
      </c>
      <c r="D573" s="10">
        <f>+D123</f>
        <v>50</v>
      </c>
      <c r="F573" s="77">
        <f t="shared" si="42"/>
        <v>4800</v>
      </c>
      <c r="I573" s="94"/>
      <c r="J573" s="93"/>
      <c r="K573" s="96"/>
    </row>
    <row r="574" spans="1:10" ht="15">
      <c r="A574" t="s">
        <v>309</v>
      </c>
      <c r="B574">
        <f>+B573</f>
        <v>4</v>
      </c>
      <c r="C574" s="30">
        <f t="shared" si="43"/>
        <v>24</v>
      </c>
      <c r="D574" s="10">
        <f>+D124</f>
        <v>1</v>
      </c>
      <c r="F574" s="77">
        <f t="shared" si="42"/>
        <v>96</v>
      </c>
      <c r="H574" s="105"/>
      <c r="J574" s="76"/>
    </row>
    <row r="575" spans="1:9" ht="15">
      <c r="A575" t="s">
        <v>310</v>
      </c>
      <c r="B575">
        <f>+B573</f>
        <v>4</v>
      </c>
      <c r="C575" s="30">
        <f t="shared" si="43"/>
        <v>24</v>
      </c>
      <c r="D575" s="10">
        <f>+D125</f>
        <v>16</v>
      </c>
      <c r="F575" s="77">
        <f t="shared" si="42"/>
        <v>1536</v>
      </c>
      <c r="I575" s="76"/>
    </row>
    <row r="576" spans="1:9" ht="15">
      <c r="A576" t="s">
        <v>324</v>
      </c>
      <c r="B576" s="118">
        <f>+B178</f>
        <v>400</v>
      </c>
      <c r="C576" s="30">
        <f t="shared" si="43"/>
        <v>24</v>
      </c>
      <c r="D576" s="10">
        <f aca="true" t="shared" si="44" ref="D576:D593">+D178</f>
        <v>0.174</v>
      </c>
      <c r="F576" s="77">
        <f t="shared" si="42"/>
        <v>1670.3999999999999</v>
      </c>
      <c r="I576" s="76"/>
    </row>
    <row r="577" spans="1:9" ht="15">
      <c r="A577" t="s">
        <v>326</v>
      </c>
      <c r="B577" s="118">
        <f>+B179</f>
        <v>400</v>
      </c>
      <c r="C577" s="30">
        <f t="shared" si="43"/>
        <v>24</v>
      </c>
      <c r="D577" s="10">
        <f t="shared" si="44"/>
        <v>0.13</v>
      </c>
      <c r="F577" s="77">
        <f t="shared" si="42"/>
        <v>1248</v>
      </c>
      <c r="I577" s="76"/>
    </row>
    <row r="578" spans="1:9" ht="15">
      <c r="A578" t="s">
        <v>328</v>
      </c>
      <c r="B578" s="105">
        <v>26</v>
      </c>
      <c r="C578" s="30">
        <f>+C575</f>
        <v>24</v>
      </c>
      <c r="D578" s="10">
        <f t="shared" si="44"/>
        <v>0.5</v>
      </c>
      <c r="F578" s="77">
        <f t="shared" si="42"/>
        <v>312</v>
      </c>
      <c r="I578" s="76"/>
    </row>
    <row r="579" spans="1:9" ht="15">
      <c r="A579" t="s">
        <v>329</v>
      </c>
      <c r="B579" s="105">
        <f>+B578</f>
        <v>26</v>
      </c>
      <c r="C579" s="30">
        <f aca="true" t="shared" si="45" ref="C579:C600">+C578</f>
        <v>24</v>
      </c>
      <c r="D579" s="10">
        <f t="shared" si="44"/>
        <v>0.15</v>
      </c>
      <c r="F579" s="77">
        <f t="shared" si="42"/>
        <v>93.6</v>
      </c>
      <c r="I579" s="76"/>
    </row>
    <row r="580" spans="1:9" ht="15">
      <c r="A580" t="str">
        <f>+A518</f>
        <v>Ceramic Lights-2 per room</v>
      </c>
      <c r="B580" s="105">
        <v>14</v>
      </c>
      <c r="C580" s="30">
        <f t="shared" si="45"/>
        <v>24</v>
      </c>
      <c r="D580" s="10">
        <f t="shared" si="44"/>
        <v>0.55</v>
      </c>
      <c r="F580" s="77">
        <f t="shared" si="42"/>
        <v>184.8</v>
      </c>
      <c r="I580" s="76"/>
    </row>
    <row r="581" spans="1:9" ht="15">
      <c r="A581" t="s">
        <v>345</v>
      </c>
      <c r="B581" s="105">
        <f>+B580</f>
        <v>14</v>
      </c>
      <c r="C581" s="30">
        <f t="shared" si="45"/>
        <v>24</v>
      </c>
      <c r="D581" s="10">
        <f t="shared" si="44"/>
        <v>0.5</v>
      </c>
      <c r="F581" s="77">
        <f t="shared" si="42"/>
        <v>168</v>
      </c>
      <c r="I581" s="76"/>
    </row>
    <row r="582" spans="1:9" ht="15">
      <c r="A582" t="s">
        <v>346</v>
      </c>
      <c r="B582" s="105">
        <f>+B581</f>
        <v>14</v>
      </c>
      <c r="C582" s="30">
        <f t="shared" si="45"/>
        <v>24</v>
      </c>
      <c r="D582" s="10">
        <f t="shared" si="44"/>
        <v>0.15</v>
      </c>
      <c r="F582" s="77">
        <f t="shared" si="42"/>
        <v>50.4</v>
      </c>
      <c r="I582" s="76"/>
    </row>
    <row r="583" spans="1:9" ht="15">
      <c r="A583" t="s">
        <v>347</v>
      </c>
      <c r="B583" s="105">
        <v>3</v>
      </c>
      <c r="C583" s="30">
        <f t="shared" si="45"/>
        <v>24</v>
      </c>
      <c r="D583" s="10">
        <f t="shared" si="44"/>
        <v>0.55</v>
      </c>
      <c r="F583" s="77">
        <f t="shared" si="42"/>
        <v>39.6</v>
      </c>
      <c r="I583" s="76"/>
    </row>
    <row r="584" spans="1:9" ht="15">
      <c r="A584" t="s">
        <v>348</v>
      </c>
      <c r="B584" s="105">
        <v>3</v>
      </c>
      <c r="C584" s="30">
        <f t="shared" si="45"/>
        <v>24</v>
      </c>
      <c r="D584" s="10">
        <f t="shared" si="44"/>
        <v>0.5</v>
      </c>
      <c r="F584" s="77">
        <f t="shared" si="42"/>
        <v>36</v>
      </c>
      <c r="I584" s="76"/>
    </row>
    <row r="585" spans="1:9" ht="15">
      <c r="A585" t="s">
        <v>349</v>
      </c>
      <c r="B585" s="105">
        <v>3</v>
      </c>
      <c r="C585" s="30">
        <f t="shared" si="45"/>
        <v>24</v>
      </c>
      <c r="D585" s="10">
        <f t="shared" si="44"/>
        <v>0.15</v>
      </c>
      <c r="F585" s="77">
        <f t="shared" si="42"/>
        <v>10.799999999999999</v>
      </c>
      <c r="I585" s="76"/>
    </row>
    <row r="586" spans="1:9" ht="15">
      <c r="A586" t="s">
        <v>336</v>
      </c>
      <c r="B586" s="105">
        <f>+B578</f>
        <v>26</v>
      </c>
      <c r="C586" s="30">
        <f t="shared" si="45"/>
        <v>24</v>
      </c>
      <c r="D586" s="10">
        <f t="shared" si="44"/>
        <v>0.6</v>
      </c>
      <c r="F586" s="77">
        <f t="shared" si="42"/>
        <v>374.4</v>
      </c>
      <c r="I586" s="76"/>
    </row>
    <row r="587" spans="1:9" ht="15">
      <c r="A587" t="s">
        <v>337</v>
      </c>
      <c r="B587" s="105">
        <f>+B580+B583</f>
        <v>17</v>
      </c>
      <c r="C587" s="30">
        <f t="shared" si="45"/>
        <v>24</v>
      </c>
      <c r="D587" s="10">
        <f t="shared" si="44"/>
        <v>1</v>
      </c>
      <c r="F587" s="77">
        <f t="shared" si="42"/>
        <v>408</v>
      </c>
      <c r="I587" s="76"/>
    </row>
    <row r="588" spans="1:9" ht="15">
      <c r="A588" t="s">
        <v>338</v>
      </c>
      <c r="B588" s="105">
        <f>+B587</f>
        <v>17</v>
      </c>
      <c r="C588" s="30">
        <f t="shared" si="45"/>
        <v>24</v>
      </c>
      <c r="D588" s="10">
        <f t="shared" si="44"/>
        <v>0.8</v>
      </c>
      <c r="F588" s="77">
        <f t="shared" si="42"/>
        <v>326.40000000000003</v>
      </c>
      <c r="I588" s="76"/>
    </row>
    <row r="589" spans="1:9" ht="15">
      <c r="A589" t="s">
        <v>339</v>
      </c>
      <c r="B589" s="105">
        <v>1</v>
      </c>
      <c r="C589" s="30">
        <f t="shared" si="45"/>
        <v>24</v>
      </c>
      <c r="D589" s="10">
        <f t="shared" si="44"/>
        <v>30</v>
      </c>
      <c r="F589" s="77">
        <f t="shared" si="42"/>
        <v>720</v>
      </c>
      <c r="I589" s="76"/>
    </row>
    <row r="590" spans="1:9" ht="15">
      <c r="A590" t="s">
        <v>340</v>
      </c>
      <c r="B590" s="105">
        <v>4</v>
      </c>
      <c r="C590" s="30">
        <f t="shared" si="45"/>
        <v>24</v>
      </c>
      <c r="D590" s="10">
        <f t="shared" si="44"/>
        <v>5.25</v>
      </c>
      <c r="F590" s="77">
        <f t="shared" si="42"/>
        <v>504</v>
      </c>
      <c r="I590" s="76"/>
    </row>
    <row r="591" spans="1:9" ht="15">
      <c r="A591" t="s">
        <v>341</v>
      </c>
      <c r="B591" s="105">
        <v>1</v>
      </c>
      <c r="C591" s="30">
        <f t="shared" si="45"/>
        <v>24</v>
      </c>
      <c r="D591" s="10">
        <f t="shared" si="44"/>
        <v>52</v>
      </c>
      <c r="F591" s="77">
        <f t="shared" si="42"/>
        <v>1248</v>
      </c>
      <c r="I591" s="76"/>
    </row>
    <row r="592" spans="1:9" ht="15">
      <c r="A592" t="s">
        <v>342</v>
      </c>
      <c r="B592" s="105">
        <v>1</v>
      </c>
      <c r="C592" s="30">
        <f t="shared" si="45"/>
        <v>24</v>
      </c>
      <c r="D592" s="10">
        <f t="shared" si="44"/>
        <v>2.1</v>
      </c>
      <c r="F592" s="77">
        <f t="shared" si="42"/>
        <v>50.400000000000006</v>
      </c>
      <c r="I592" s="76"/>
    </row>
    <row r="593" spans="1:9" ht="15">
      <c r="A593" t="s">
        <v>343</v>
      </c>
      <c r="B593" s="105">
        <v>4</v>
      </c>
      <c r="C593" s="30">
        <f t="shared" si="45"/>
        <v>24</v>
      </c>
      <c r="D593" s="10">
        <f t="shared" si="44"/>
        <v>12.5</v>
      </c>
      <c r="F593" s="77">
        <f t="shared" si="42"/>
        <v>1200</v>
      </c>
      <c r="G593" s="154">
        <f>SUM(F576:F593)</f>
        <v>8644.8</v>
      </c>
      <c r="I593" s="76"/>
    </row>
    <row r="594" spans="1:9" ht="15">
      <c r="A594" t="s">
        <v>397</v>
      </c>
      <c r="B594">
        <v>1</v>
      </c>
      <c r="C594" s="30">
        <f t="shared" si="45"/>
        <v>24</v>
      </c>
      <c r="D594" s="10">
        <f>+D532</f>
        <v>165</v>
      </c>
      <c r="F594" s="77">
        <f t="shared" si="42"/>
        <v>3960</v>
      </c>
      <c r="I594" s="76"/>
    </row>
    <row r="595" spans="1:9" ht="15">
      <c r="A595" t="s">
        <v>398</v>
      </c>
      <c r="B595">
        <v>1</v>
      </c>
      <c r="C595" s="30">
        <f t="shared" si="45"/>
        <v>24</v>
      </c>
      <c r="D595" s="10">
        <f aca="true" t="shared" si="46" ref="D595:D601">+D533</f>
        <v>300</v>
      </c>
      <c r="F595" s="77">
        <f t="shared" si="42"/>
        <v>7200</v>
      </c>
      <c r="I595" s="76"/>
    </row>
    <row r="596" spans="1:9" ht="15">
      <c r="A596" t="s">
        <v>400</v>
      </c>
      <c r="B596">
        <v>1</v>
      </c>
      <c r="C596" s="30">
        <f t="shared" si="45"/>
        <v>24</v>
      </c>
      <c r="D596" s="10">
        <f t="shared" si="46"/>
        <v>150</v>
      </c>
      <c r="F596" s="77">
        <f t="shared" si="42"/>
        <v>3600</v>
      </c>
      <c r="I596" s="76"/>
    </row>
    <row r="597" spans="1:9" ht="15">
      <c r="A597" t="s">
        <v>401</v>
      </c>
      <c r="B597">
        <v>1</v>
      </c>
      <c r="C597" s="30">
        <f t="shared" si="45"/>
        <v>24</v>
      </c>
      <c r="D597" s="10">
        <f t="shared" si="46"/>
        <v>75</v>
      </c>
      <c r="F597" s="77">
        <f t="shared" si="42"/>
        <v>1800</v>
      </c>
      <c r="I597" s="76"/>
    </row>
    <row r="598" spans="1:9" ht="15">
      <c r="A598" t="s">
        <v>402</v>
      </c>
      <c r="B598">
        <v>1</v>
      </c>
      <c r="C598" s="30">
        <f t="shared" si="45"/>
        <v>24</v>
      </c>
      <c r="D598" s="10">
        <f t="shared" si="46"/>
        <v>75</v>
      </c>
      <c r="F598" s="77">
        <f t="shared" si="42"/>
        <v>1800</v>
      </c>
      <c r="I598" s="76"/>
    </row>
    <row r="599" spans="1:8" ht="15">
      <c r="A599" t="s">
        <v>403</v>
      </c>
      <c r="B599">
        <v>1</v>
      </c>
      <c r="C599" s="30">
        <f t="shared" si="45"/>
        <v>24</v>
      </c>
      <c r="D599" s="10">
        <f t="shared" si="46"/>
        <v>26</v>
      </c>
      <c r="E599" s="105"/>
      <c r="F599" s="77">
        <f t="shared" si="42"/>
        <v>624</v>
      </c>
      <c r="H599" s="76"/>
    </row>
    <row r="600" spans="1:6" ht="15">
      <c r="A600" t="s">
        <v>405</v>
      </c>
      <c r="B600">
        <v>1</v>
      </c>
      <c r="C600" s="30">
        <f t="shared" si="45"/>
        <v>24</v>
      </c>
      <c r="D600" s="10">
        <f t="shared" si="46"/>
        <v>1.55</v>
      </c>
      <c r="F600" s="77">
        <f t="shared" si="42"/>
        <v>37.2</v>
      </c>
    </row>
    <row r="601" spans="1:8" ht="15">
      <c r="A601" s="123" t="s">
        <v>406</v>
      </c>
      <c r="B601">
        <v>1</v>
      </c>
      <c r="C601" s="30">
        <f>+C600</f>
        <v>24</v>
      </c>
      <c r="D601" s="10">
        <f t="shared" si="46"/>
        <v>35</v>
      </c>
      <c r="F601" s="77">
        <f t="shared" si="42"/>
        <v>840</v>
      </c>
      <c r="G601" s="44"/>
      <c r="H601" s="156"/>
    </row>
    <row r="602" spans="3:8" ht="15">
      <c r="C602" s="10"/>
      <c r="F602" s="77"/>
      <c r="G602" s="44"/>
      <c r="H602" s="156"/>
    </row>
    <row r="603" spans="1:8" ht="15">
      <c r="A603" t="s">
        <v>372</v>
      </c>
      <c r="B603" s="105">
        <v>5</v>
      </c>
      <c r="C603">
        <f>+C601</f>
        <v>24</v>
      </c>
      <c r="D603" s="142">
        <v>4.6</v>
      </c>
      <c r="F603" s="77">
        <f t="shared" si="42"/>
        <v>552</v>
      </c>
      <c r="G603" s="44"/>
      <c r="H603" s="156"/>
    </row>
    <row r="604" spans="1:8" ht="15">
      <c r="A604" t="s">
        <v>374</v>
      </c>
      <c r="B604" s="105">
        <v>6</v>
      </c>
      <c r="C604">
        <f>+C603</f>
        <v>24</v>
      </c>
      <c r="D604" s="142">
        <v>1</v>
      </c>
      <c r="F604" s="77">
        <f t="shared" si="42"/>
        <v>144</v>
      </c>
      <c r="G604" s="44"/>
      <c r="H604" s="156"/>
    </row>
    <row r="605" spans="1:8" ht="15">
      <c r="A605" t="s">
        <v>375</v>
      </c>
      <c r="B605" s="105">
        <v>1</v>
      </c>
      <c r="C605">
        <f aca="true" t="shared" si="47" ref="C605:C619">+C603</f>
        <v>24</v>
      </c>
      <c r="D605" s="142">
        <v>10</v>
      </c>
      <c r="F605" s="77">
        <f t="shared" si="42"/>
        <v>240</v>
      </c>
      <c r="G605" s="44"/>
      <c r="H605" s="156"/>
    </row>
    <row r="606" spans="1:8" ht="15">
      <c r="A606" t="s">
        <v>376</v>
      </c>
      <c r="B606" s="105">
        <v>3</v>
      </c>
      <c r="C606">
        <f t="shared" si="47"/>
        <v>24</v>
      </c>
      <c r="D606" s="142">
        <v>5</v>
      </c>
      <c r="F606" s="77">
        <f t="shared" si="42"/>
        <v>360</v>
      </c>
      <c r="G606" s="44"/>
      <c r="H606" s="156"/>
    </row>
    <row r="607" spans="1:8" ht="15">
      <c r="A607" t="s">
        <v>377</v>
      </c>
      <c r="B607" s="105">
        <v>4</v>
      </c>
      <c r="C607">
        <f t="shared" si="47"/>
        <v>24</v>
      </c>
      <c r="D607" s="142">
        <v>5</v>
      </c>
      <c r="F607" s="77">
        <f t="shared" si="42"/>
        <v>480</v>
      </c>
      <c r="G607" s="44"/>
      <c r="H607" s="156"/>
    </row>
    <row r="608" spans="1:8" ht="15">
      <c r="A608" t="s">
        <v>378</v>
      </c>
      <c r="B608" s="105">
        <v>1</v>
      </c>
      <c r="C608">
        <f t="shared" si="47"/>
        <v>24</v>
      </c>
      <c r="D608" s="142">
        <v>1.6</v>
      </c>
      <c r="F608" s="77">
        <f t="shared" si="42"/>
        <v>38.400000000000006</v>
      </c>
      <c r="G608" s="44"/>
      <c r="H608" s="156"/>
    </row>
    <row r="609" spans="1:8" ht="15">
      <c r="A609" s="78" t="s">
        <v>379</v>
      </c>
      <c r="B609" s="105">
        <v>4</v>
      </c>
      <c r="C609">
        <f t="shared" si="47"/>
        <v>24</v>
      </c>
      <c r="D609" s="142">
        <v>1.25</v>
      </c>
      <c r="F609" s="77">
        <f t="shared" si="42"/>
        <v>120</v>
      </c>
      <c r="G609" s="44"/>
      <c r="H609" s="156"/>
    </row>
    <row r="610" spans="1:8" ht="15">
      <c r="A610" t="s">
        <v>380</v>
      </c>
      <c r="B610" s="105">
        <v>1</v>
      </c>
      <c r="C610">
        <f t="shared" si="47"/>
        <v>24</v>
      </c>
      <c r="D610" s="142">
        <v>50</v>
      </c>
      <c r="F610" s="77">
        <f t="shared" si="42"/>
        <v>1200</v>
      </c>
      <c r="G610" s="44"/>
      <c r="H610" s="156"/>
    </row>
    <row r="611" spans="1:8" ht="15">
      <c r="A611" t="str">
        <f>+A549</f>
        <v>Units-Shower: Blocks. Concrete, tile- shower area</v>
      </c>
      <c r="B611" s="105">
        <v>1</v>
      </c>
      <c r="C611">
        <f>+C610</f>
        <v>24</v>
      </c>
      <c r="D611" s="142">
        <f>+D549</f>
        <v>75</v>
      </c>
      <c r="F611" s="77">
        <f t="shared" si="42"/>
        <v>1800</v>
      </c>
      <c r="G611" s="44"/>
      <c r="H611" s="156"/>
    </row>
    <row r="612" spans="1:8" ht="15">
      <c r="A612" t="s">
        <v>381</v>
      </c>
      <c r="B612" s="105">
        <v>1</v>
      </c>
      <c r="C612">
        <f>+C609</f>
        <v>24</v>
      </c>
      <c r="D612" s="142">
        <v>26</v>
      </c>
      <c r="F612" s="77">
        <f t="shared" si="42"/>
        <v>624</v>
      </c>
      <c r="G612" s="44"/>
      <c r="H612" s="156"/>
    </row>
    <row r="613" spans="1:8" ht="15">
      <c r="A613" t="s">
        <v>382</v>
      </c>
      <c r="B613" s="105">
        <v>1</v>
      </c>
      <c r="C613">
        <f>+C610</f>
        <v>24</v>
      </c>
      <c r="D613" s="142">
        <v>45</v>
      </c>
      <c r="F613" s="77">
        <f t="shared" si="42"/>
        <v>1080</v>
      </c>
      <c r="G613" s="44"/>
      <c r="H613" s="156"/>
    </row>
    <row r="614" spans="1:8" ht="15">
      <c r="A614" t="s">
        <v>383</v>
      </c>
      <c r="B614" s="105">
        <v>1</v>
      </c>
      <c r="C614">
        <f t="shared" si="47"/>
        <v>24</v>
      </c>
      <c r="D614" s="142">
        <v>30</v>
      </c>
      <c r="F614" s="77">
        <f t="shared" si="42"/>
        <v>720</v>
      </c>
      <c r="G614" s="44"/>
      <c r="H614" s="156"/>
    </row>
    <row r="615" spans="1:8" ht="15">
      <c r="A615" t="s">
        <v>384</v>
      </c>
      <c r="B615" s="105">
        <v>1</v>
      </c>
      <c r="C615">
        <f t="shared" si="47"/>
        <v>24</v>
      </c>
      <c r="D615" s="142">
        <v>35</v>
      </c>
      <c r="F615" s="77">
        <f t="shared" si="42"/>
        <v>840</v>
      </c>
      <c r="G615" s="44"/>
      <c r="H615" s="156"/>
    </row>
    <row r="616" spans="3:8" ht="15">
      <c r="C616" s="10"/>
      <c r="F616" s="77"/>
      <c r="G616" s="44"/>
      <c r="H616" s="156"/>
    </row>
    <row r="617" spans="1:8" ht="15">
      <c r="A617" t="s">
        <v>416</v>
      </c>
      <c r="B617" s="105">
        <f>30*20</f>
        <v>600</v>
      </c>
      <c r="C617">
        <f t="shared" si="47"/>
        <v>24</v>
      </c>
      <c r="D617" s="10">
        <f>+D554</f>
        <v>1</v>
      </c>
      <c r="F617" s="77">
        <f t="shared" si="42"/>
        <v>14400</v>
      </c>
      <c r="G617" s="44"/>
      <c r="H617" s="156"/>
    </row>
    <row r="618" spans="1:8" ht="15">
      <c r="A618" t="s">
        <v>417</v>
      </c>
      <c r="B618" s="105">
        <f>+B612</f>
        <v>1</v>
      </c>
      <c r="C618">
        <f>+C617</f>
        <v>24</v>
      </c>
      <c r="D618" s="10">
        <f>+D555</f>
        <v>125</v>
      </c>
      <c r="F618" s="77">
        <f t="shared" si="42"/>
        <v>3000</v>
      </c>
      <c r="G618" s="44"/>
      <c r="H618" s="156"/>
    </row>
    <row r="619" spans="1:8" ht="15">
      <c r="A619" t="s">
        <v>418</v>
      </c>
      <c r="B619" s="105">
        <v>10</v>
      </c>
      <c r="C619">
        <f t="shared" si="47"/>
        <v>24</v>
      </c>
      <c r="D619" s="10">
        <f>+D556</f>
        <v>6.2</v>
      </c>
      <c r="F619" s="77">
        <f t="shared" si="42"/>
        <v>1488</v>
      </c>
      <c r="G619" s="44"/>
      <c r="H619" s="156"/>
    </row>
    <row r="620" spans="3:8" ht="15">
      <c r="C620" s="10"/>
      <c r="F620" s="77"/>
      <c r="G620" s="44"/>
      <c r="H620" s="156"/>
    </row>
    <row r="621" spans="1:8" ht="15">
      <c r="A621" t="s">
        <v>363</v>
      </c>
      <c r="B621" s="121">
        <v>1</v>
      </c>
      <c r="C621">
        <f>+C619</f>
        <v>24</v>
      </c>
      <c r="D621" s="76">
        <v>2000</v>
      </c>
      <c r="F621" s="77">
        <f t="shared" si="42"/>
        <v>48000</v>
      </c>
      <c r="G621" s="44"/>
      <c r="H621" s="156"/>
    </row>
    <row r="622" spans="2:8" ht="15">
      <c r="B622" s="121"/>
      <c r="D622" s="76"/>
      <c r="F622" s="77"/>
      <c r="G622" s="32" t="s">
        <v>473</v>
      </c>
      <c r="H622" s="157" t="s">
        <v>474</v>
      </c>
    </row>
    <row r="623" spans="1:8" ht="15">
      <c r="A623" s="158" t="s">
        <v>475</v>
      </c>
      <c r="G623" s="156">
        <f>SUM(F566:F623)</f>
        <v>232760.39999999997</v>
      </c>
      <c r="H623" s="159">
        <f>+G623/J25</f>
        <v>9698.349999999999</v>
      </c>
    </row>
    <row r="624" spans="1:8" ht="15">
      <c r="A624" s="158"/>
      <c r="H624" s="163"/>
    </row>
    <row r="625" spans="1:8" ht="15">
      <c r="A625" s="158" t="s">
        <v>476</v>
      </c>
      <c r="G625" s="44">
        <f>+G431</f>
        <v>171226.7166033689</v>
      </c>
      <c r="H625" s="159">
        <f>+H431</f>
        <v>7134.446525140371</v>
      </c>
    </row>
    <row r="626" spans="1:8" ht="15">
      <c r="A626" s="158"/>
      <c r="H626" s="163"/>
    </row>
    <row r="627" spans="1:8" ht="15">
      <c r="A627" s="158" t="s">
        <v>477</v>
      </c>
      <c r="G627" s="164">
        <f>SUM(G623:G625)</f>
        <v>403987.1166033689</v>
      </c>
      <c r="H627" s="165">
        <f>SUM(H623:H625)</f>
        <v>16832.79652514037</v>
      </c>
    </row>
    <row r="628" ht="15">
      <c r="H628" s="77"/>
    </row>
    <row r="629" spans="1:8" ht="15">
      <c r="A629" s="137" t="s">
        <v>480</v>
      </c>
      <c r="B629" s="137"/>
      <c r="C629" s="137"/>
      <c r="D629" s="137"/>
      <c r="E629" s="137"/>
      <c r="F629" s="137"/>
      <c r="G629" s="166">
        <f>+G627+G564+G502</f>
        <v>724999.9982644628</v>
      </c>
      <c r="H629" s="167"/>
    </row>
    <row r="630" ht="15">
      <c r="H630" s="77"/>
    </row>
    <row r="631" spans="1:11" ht="15.75">
      <c r="A631" s="168" t="s">
        <v>72</v>
      </c>
      <c r="B631" s="168"/>
      <c r="C631" s="168"/>
      <c r="D631" s="168"/>
      <c r="E631" s="168"/>
      <c r="F631" s="169">
        <f>SUM(F346:F629)-F429-F430-F431</f>
        <v>724999.9982644622</v>
      </c>
      <c r="G631" s="168"/>
      <c r="H631" s="168"/>
      <c r="K631" s="77" t="s">
        <v>80</v>
      </c>
    </row>
    <row r="632" ht="15">
      <c r="G632" s="10"/>
    </row>
    <row r="633" spans="1:13" ht="15">
      <c r="A633" s="97"/>
      <c r="B633" s="174"/>
      <c r="C633" s="174"/>
      <c r="D633" s="174"/>
      <c r="E633" s="174"/>
      <c r="F633" s="174"/>
      <c r="G633" s="97"/>
      <c r="H633" s="97"/>
      <c r="I633" s="97"/>
      <c r="J633" s="97"/>
      <c r="K633" s="97"/>
      <c r="L633" s="97"/>
      <c r="M633" s="97"/>
    </row>
    <row r="634" spans="1:13" ht="15">
      <c r="A634" s="97"/>
      <c r="B634" s="174"/>
      <c r="C634" s="174"/>
      <c r="D634" s="174"/>
      <c r="E634" s="174"/>
      <c r="F634" s="174"/>
      <c r="G634" s="97"/>
      <c r="H634" s="97"/>
      <c r="I634" s="97"/>
      <c r="J634" s="97"/>
      <c r="K634" s="97"/>
      <c r="L634" s="97"/>
      <c r="M634" s="97"/>
    </row>
    <row r="635" spans="1:13" ht="15">
      <c r="A635" s="97"/>
      <c r="B635" s="174"/>
      <c r="C635" s="174"/>
      <c r="D635" s="174"/>
      <c r="E635" s="174"/>
      <c r="F635" s="174"/>
      <c r="G635" s="97"/>
      <c r="H635" s="97"/>
      <c r="I635" s="97"/>
      <c r="J635" s="97"/>
      <c r="K635" s="97"/>
      <c r="L635" s="97"/>
      <c r="M635" s="97"/>
    </row>
    <row r="636" spans="1:13" ht="15">
      <c r="A636" s="97"/>
      <c r="B636" s="97"/>
      <c r="C636" s="97"/>
      <c r="D636" s="97"/>
      <c r="E636" s="97"/>
      <c r="F636" s="97"/>
      <c r="G636" s="97"/>
      <c r="H636" s="97"/>
      <c r="I636" s="97"/>
      <c r="J636" s="97"/>
      <c r="K636" s="97"/>
      <c r="L636" s="97"/>
      <c r="M636" s="97"/>
    </row>
    <row r="637" spans="1:13" ht="15">
      <c r="A637" s="97"/>
      <c r="B637" s="97"/>
      <c r="C637" s="97"/>
      <c r="D637" s="97"/>
      <c r="E637" s="97"/>
      <c r="F637" s="97"/>
      <c r="G637" s="97"/>
      <c r="H637" s="97"/>
      <c r="I637" s="97"/>
      <c r="J637" s="97"/>
      <c r="K637" s="97"/>
      <c r="L637" s="97"/>
      <c r="M637" s="97"/>
    </row>
    <row r="638" spans="1:13" ht="15">
      <c r="A638" s="93"/>
      <c r="B638" s="194"/>
      <c r="C638" s="194"/>
      <c r="D638" s="194"/>
      <c r="E638" s="100"/>
      <c r="F638" s="194"/>
      <c r="G638" s="97"/>
      <c r="H638" s="97"/>
      <c r="I638" s="97"/>
      <c r="J638" s="97"/>
      <c r="K638" s="97"/>
      <c r="L638" s="97"/>
      <c r="M638" s="97"/>
    </row>
    <row r="639" spans="1:13" ht="15">
      <c r="A639" s="97"/>
      <c r="B639" s="194"/>
      <c r="C639" s="194"/>
      <c r="D639" s="194"/>
      <c r="E639" s="100"/>
      <c r="F639" s="194"/>
      <c r="G639" s="97"/>
      <c r="H639" s="97"/>
      <c r="I639" s="97"/>
      <c r="J639" s="97"/>
      <c r="K639" s="97"/>
      <c r="L639" s="97"/>
      <c r="M639" s="97"/>
    </row>
    <row r="640" spans="1:13" ht="15">
      <c r="A640" s="97"/>
      <c r="B640" s="194"/>
      <c r="C640" s="194"/>
      <c r="D640" s="194"/>
      <c r="E640" s="100"/>
      <c r="F640" s="194"/>
      <c r="G640" s="97"/>
      <c r="H640" s="97"/>
      <c r="I640" s="97"/>
      <c r="J640" s="97"/>
      <c r="K640" s="97"/>
      <c r="L640" s="97"/>
      <c r="M640" s="97"/>
    </row>
    <row r="641" spans="1:13" ht="15">
      <c r="A641" s="97"/>
      <c r="B641" s="194"/>
      <c r="C641" s="194"/>
      <c r="D641" s="194"/>
      <c r="E641" s="100"/>
      <c r="F641" s="194"/>
      <c r="G641" s="97"/>
      <c r="H641" s="97"/>
      <c r="I641" s="97"/>
      <c r="J641" s="97"/>
      <c r="K641" s="97"/>
      <c r="L641" s="97"/>
      <c r="M641" s="97"/>
    </row>
    <row r="642" spans="1:13" ht="15">
      <c r="A642" s="97"/>
      <c r="B642" s="194"/>
      <c r="C642" s="194"/>
      <c r="D642" s="194"/>
      <c r="E642" s="100"/>
      <c r="F642" s="194"/>
      <c r="G642" s="97"/>
      <c r="H642" s="97"/>
      <c r="I642" s="97"/>
      <c r="J642" s="97"/>
      <c r="K642" s="97"/>
      <c r="L642" s="97"/>
      <c r="M642" s="97"/>
    </row>
    <row r="643" spans="1:13" ht="15">
      <c r="A643" s="97"/>
      <c r="B643" s="194"/>
      <c r="C643" s="194"/>
      <c r="D643" s="194"/>
      <c r="E643" s="194"/>
      <c r="F643" s="194"/>
      <c r="G643" s="97"/>
      <c r="H643" s="97"/>
      <c r="I643" s="97"/>
      <c r="J643" s="97"/>
      <c r="K643" s="97"/>
      <c r="L643" s="97"/>
      <c r="M643" s="97"/>
    </row>
    <row r="644" spans="1:13" ht="15">
      <c r="A644" s="97"/>
      <c r="B644" s="194"/>
      <c r="C644" s="194"/>
      <c r="D644" s="194"/>
      <c r="E644" s="194"/>
      <c r="F644" s="194"/>
      <c r="G644" s="97"/>
      <c r="H644" s="97"/>
      <c r="I644" s="97"/>
      <c r="J644" s="97"/>
      <c r="K644" s="97"/>
      <c r="L644" s="97"/>
      <c r="M644" s="97"/>
    </row>
    <row r="645" spans="1:13" ht="15">
      <c r="A645" s="97"/>
      <c r="B645" s="194"/>
      <c r="C645" s="194"/>
      <c r="D645" s="194"/>
      <c r="E645" s="194"/>
      <c r="F645" s="194"/>
      <c r="G645" s="97"/>
      <c r="H645" s="97"/>
      <c r="I645" s="97"/>
      <c r="J645" s="97"/>
      <c r="K645" s="97"/>
      <c r="L645" s="97"/>
      <c r="M645" s="97"/>
    </row>
    <row r="646" spans="1:13" ht="15">
      <c r="A646" s="97"/>
      <c r="B646" s="97"/>
      <c r="C646" s="97"/>
      <c r="D646" s="97"/>
      <c r="E646" s="97"/>
      <c r="F646" s="97"/>
      <c r="G646" s="97"/>
      <c r="H646" s="97"/>
      <c r="I646" s="97"/>
      <c r="J646" s="97"/>
      <c r="K646" s="97"/>
      <c r="L646" s="97"/>
      <c r="M646" s="97"/>
    </row>
    <row r="647" spans="1:13" ht="15">
      <c r="A647" s="97"/>
      <c r="B647" s="97"/>
      <c r="C647" s="97"/>
      <c r="D647" s="97"/>
      <c r="E647" s="97"/>
      <c r="F647" s="97"/>
      <c r="G647" s="97"/>
      <c r="H647" s="97"/>
      <c r="I647" s="97"/>
      <c r="J647" s="97"/>
      <c r="K647" s="97"/>
      <c r="L647" s="97"/>
      <c r="M647" s="97"/>
    </row>
    <row r="648" spans="1:13" ht="15">
      <c r="A648" s="97"/>
      <c r="B648" s="97"/>
      <c r="C648" s="97"/>
      <c r="D648" s="97"/>
      <c r="E648" s="97"/>
      <c r="F648" s="97"/>
      <c r="G648" s="97"/>
      <c r="H648" s="97"/>
      <c r="I648" s="97"/>
      <c r="J648" s="97"/>
      <c r="K648" s="97"/>
      <c r="L648" s="97"/>
      <c r="M648" s="97"/>
    </row>
    <row r="649" spans="1:13" ht="15">
      <c r="A649" s="97"/>
      <c r="B649" s="194"/>
      <c r="C649" s="194"/>
      <c r="D649" s="194"/>
      <c r="E649" s="194"/>
      <c r="F649" s="194"/>
      <c r="G649" s="97"/>
      <c r="H649" s="97"/>
      <c r="I649" s="97"/>
      <c r="J649" s="97"/>
      <c r="K649" s="97"/>
      <c r="L649" s="97"/>
      <c r="M649" s="97"/>
    </row>
    <row r="650" spans="1:13" ht="15">
      <c r="A650" s="97"/>
      <c r="B650" s="97"/>
      <c r="C650" s="97"/>
      <c r="D650" s="97"/>
      <c r="E650" s="97"/>
      <c r="F650" s="97"/>
      <c r="G650" s="97"/>
      <c r="H650" s="97"/>
      <c r="I650" s="97"/>
      <c r="J650" s="97"/>
      <c r="K650" s="97"/>
      <c r="L650" s="97"/>
      <c r="M650" s="97"/>
    </row>
    <row r="651" spans="1:13" ht="15">
      <c r="A651" s="97"/>
      <c r="B651" s="97"/>
      <c r="C651" s="97"/>
      <c r="D651" s="97"/>
      <c r="E651" s="97"/>
      <c r="F651" s="97"/>
      <c r="G651" s="97"/>
      <c r="H651" s="97"/>
      <c r="I651" s="97"/>
      <c r="J651" s="97"/>
      <c r="K651" s="97"/>
      <c r="L651" s="97"/>
      <c r="M651" s="97"/>
    </row>
    <row r="652" spans="1:13" ht="15">
      <c r="A652" s="97"/>
      <c r="B652" s="97"/>
      <c r="C652" s="97"/>
      <c r="D652" s="97"/>
      <c r="E652" s="97"/>
      <c r="F652" s="97"/>
      <c r="G652" s="97"/>
      <c r="H652" s="97"/>
      <c r="I652" s="97"/>
      <c r="J652" s="97"/>
      <c r="K652" s="97"/>
      <c r="L652" s="97"/>
      <c r="M652" s="97"/>
    </row>
    <row r="653" spans="1:13" ht="15">
      <c r="A653" s="97"/>
      <c r="B653" s="97"/>
      <c r="C653" s="97"/>
      <c r="D653" s="97"/>
      <c r="E653" s="97"/>
      <c r="F653" s="97"/>
      <c r="G653" s="97"/>
      <c r="H653" s="97"/>
      <c r="I653" s="97"/>
      <c r="J653" s="97"/>
      <c r="K653" s="97"/>
      <c r="L653" s="97"/>
      <c r="M653" s="97"/>
    </row>
    <row r="654" spans="1:13" ht="15">
      <c r="A654" s="97"/>
      <c r="B654" s="195"/>
      <c r="C654" s="195"/>
      <c r="D654" s="195"/>
      <c r="E654" s="195"/>
      <c r="F654" s="195"/>
      <c r="G654" s="97"/>
      <c r="H654" s="97"/>
      <c r="I654" s="97"/>
      <c r="J654" s="97"/>
      <c r="K654" s="97"/>
      <c r="L654" s="97"/>
      <c r="M654" s="97"/>
    </row>
    <row r="655" spans="1:13" ht="15">
      <c r="A655" s="93"/>
      <c r="B655" s="93"/>
      <c r="C655" s="93"/>
      <c r="D655" s="93"/>
      <c r="E655" s="93"/>
      <c r="F655" s="93"/>
      <c r="G655" s="97"/>
      <c r="H655" s="97"/>
      <c r="I655" s="97"/>
      <c r="J655" s="97"/>
      <c r="K655" s="97"/>
      <c r="L655" s="97"/>
      <c r="M655" s="97"/>
    </row>
    <row r="656" spans="1:13" ht="15">
      <c r="A656" s="93"/>
      <c r="B656" s="196"/>
      <c r="C656" s="196"/>
      <c r="D656" s="196"/>
      <c r="E656" s="196"/>
      <c r="F656" s="196"/>
      <c r="G656" s="97"/>
      <c r="H656" s="97"/>
      <c r="I656" s="97"/>
      <c r="J656" s="97"/>
      <c r="K656" s="97"/>
      <c r="L656" s="97"/>
      <c r="M656" s="97"/>
    </row>
    <row r="657" spans="1:13" ht="15">
      <c r="A657" s="93"/>
      <c r="B657" s="196"/>
      <c r="C657" s="196"/>
      <c r="D657" s="196"/>
      <c r="E657" s="196"/>
      <c r="F657" s="196"/>
      <c r="G657" s="174"/>
      <c r="H657" s="97"/>
      <c r="I657" s="97"/>
      <c r="J657" s="97"/>
      <c r="K657" s="97"/>
      <c r="L657" s="97"/>
      <c r="M657" s="97"/>
    </row>
    <row r="658" spans="1:13" ht="15">
      <c r="A658" s="93"/>
      <c r="B658" s="97"/>
      <c r="C658" s="174"/>
      <c r="D658" s="174"/>
      <c r="E658" s="174"/>
      <c r="F658" s="174"/>
      <c r="G658" s="174"/>
      <c r="H658" s="174"/>
      <c r="I658" s="174"/>
      <c r="J658" s="174"/>
      <c r="K658" s="174"/>
      <c r="L658" s="174"/>
      <c r="M658" s="97"/>
    </row>
    <row r="659" spans="1:13" ht="15">
      <c r="A659" s="93"/>
      <c r="B659" s="93"/>
      <c r="C659" s="174"/>
      <c r="D659" s="174"/>
      <c r="E659" s="174"/>
      <c r="F659" s="174"/>
      <c r="G659" s="97"/>
      <c r="H659" s="174"/>
      <c r="I659" s="174"/>
      <c r="J659" s="174"/>
      <c r="K659" s="174"/>
      <c r="L659" s="174"/>
      <c r="M659" s="97"/>
    </row>
    <row r="660" spans="1:13" ht="15">
      <c r="A660" s="93"/>
      <c r="B660" s="97"/>
      <c r="C660" s="97"/>
      <c r="D660" s="97"/>
      <c r="E660" s="97"/>
      <c r="F660" s="97"/>
      <c r="G660" s="197"/>
      <c r="H660" s="97"/>
      <c r="I660" s="97"/>
      <c r="J660" s="97"/>
      <c r="K660" s="97"/>
      <c r="L660" s="97"/>
      <c r="M660" s="97"/>
    </row>
    <row r="661" spans="1:13" ht="15">
      <c r="A661" s="93"/>
      <c r="B661" s="97"/>
      <c r="C661" s="97"/>
      <c r="D661" s="97"/>
      <c r="E661" s="197"/>
      <c r="F661" s="97"/>
      <c r="G661" s="197"/>
      <c r="H661" s="198"/>
      <c r="I661" s="97"/>
      <c r="J661" s="97"/>
      <c r="K661" s="97"/>
      <c r="L661" s="97"/>
      <c r="M661" s="97"/>
    </row>
    <row r="662" spans="1:13" ht="15">
      <c r="A662" s="93"/>
      <c r="B662" s="97"/>
      <c r="C662" s="97"/>
      <c r="D662" s="97"/>
      <c r="E662" s="197"/>
      <c r="F662" s="97"/>
      <c r="G662" s="97"/>
      <c r="H662" s="97"/>
      <c r="I662" s="97"/>
      <c r="J662" s="97"/>
      <c r="K662" s="97"/>
      <c r="L662" s="97"/>
      <c r="M662" s="97"/>
    </row>
    <row r="663" spans="1:13" ht="15">
      <c r="A663" s="93"/>
      <c r="B663" s="97"/>
      <c r="C663" s="97"/>
      <c r="D663" s="97"/>
      <c r="E663" s="97"/>
      <c r="F663" s="97"/>
      <c r="G663" s="97"/>
      <c r="H663" s="97"/>
      <c r="I663" s="97"/>
      <c r="J663" s="97"/>
      <c r="K663" s="97"/>
      <c r="L663" s="97"/>
      <c r="M663" s="97"/>
    </row>
    <row r="664" spans="1:13" ht="15">
      <c r="A664" s="93"/>
      <c r="B664" s="97"/>
      <c r="C664" s="97"/>
      <c r="D664" s="97"/>
      <c r="E664" s="97"/>
      <c r="F664" s="97"/>
      <c r="G664" s="97"/>
      <c r="H664" s="97"/>
      <c r="I664" s="97"/>
      <c r="J664" s="97"/>
      <c r="K664" s="97"/>
      <c r="L664" s="97"/>
      <c r="M664" s="97"/>
    </row>
    <row r="665" spans="1:13" ht="15">
      <c r="A665" s="93"/>
      <c r="B665" s="97"/>
      <c r="C665" s="97"/>
      <c r="D665" s="97"/>
      <c r="E665" s="97"/>
      <c r="F665" s="97"/>
      <c r="G665" s="199"/>
      <c r="H665" s="97"/>
      <c r="I665" s="97"/>
      <c r="J665" s="97"/>
      <c r="K665" s="97"/>
      <c r="L665" s="97"/>
      <c r="M665" s="97"/>
    </row>
    <row r="666" spans="1:13" ht="15">
      <c r="A666" s="93"/>
      <c r="B666" s="158"/>
      <c r="C666" s="158"/>
      <c r="D666" s="158"/>
      <c r="E666" s="158"/>
      <c r="F666" s="158"/>
      <c r="G666" s="97"/>
      <c r="H666" s="200"/>
      <c r="I666" s="200"/>
      <c r="J666" s="201"/>
      <c r="K666" s="158"/>
      <c r="L666" s="97"/>
      <c r="M666" s="97"/>
    </row>
    <row r="667" spans="1:13" ht="15">
      <c r="A667" s="93"/>
      <c r="B667" s="97"/>
      <c r="C667" s="97"/>
      <c r="D667" s="97"/>
      <c r="E667" s="97"/>
      <c r="F667" s="97"/>
      <c r="G667" s="97"/>
      <c r="H667" s="97"/>
      <c r="I667" s="97"/>
      <c r="J667" s="97"/>
      <c r="K667" s="97"/>
      <c r="L667" s="97"/>
      <c r="M667" s="97"/>
    </row>
    <row r="668" spans="1:13" ht="15">
      <c r="A668" s="93"/>
      <c r="B668" s="97"/>
      <c r="C668" s="97"/>
      <c r="D668" s="97"/>
      <c r="E668" s="97"/>
      <c r="F668" s="97"/>
      <c r="G668" s="97"/>
      <c r="H668" s="97"/>
      <c r="I668" s="97"/>
      <c r="J668" s="97"/>
      <c r="K668" s="97"/>
      <c r="L668" s="97"/>
      <c r="M668" s="97"/>
    </row>
    <row r="669" spans="1:13" ht="15">
      <c r="A669" s="93"/>
      <c r="B669" s="97"/>
      <c r="C669" s="97"/>
      <c r="D669" s="97"/>
      <c r="E669" s="97"/>
      <c r="F669" s="97"/>
      <c r="G669" s="97"/>
      <c r="H669" s="97"/>
      <c r="I669" s="97"/>
      <c r="J669" s="97"/>
      <c r="K669" s="97"/>
      <c r="L669" s="97"/>
      <c r="M669" s="97"/>
    </row>
    <row r="670" spans="1:13" ht="15">
      <c r="A670" s="93"/>
      <c r="B670" s="97"/>
      <c r="C670" s="97"/>
      <c r="D670" s="97"/>
      <c r="E670" s="97"/>
      <c r="F670" s="97"/>
      <c r="G670" s="97"/>
      <c r="H670" s="97"/>
      <c r="I670" s="97"/>
      <c r="J670" s="97"/>
      <c r="K670" s="97"/>
      <c r="L670" s="97"/>
      <c r="M670" s="97"/>
    </row>
    <row r="671" spans="1:13" ht="15">
      <c r="A671" s="93"/>
      <c r="B671" s="97"/>
      <c r="C671" s="97"/>
      <c r="D671" s="97"/>
      <c r="E671" s="97"/>
      <c r="F671" s="97"/>
      <c r="G671" s="97"/>
      <c r="H671" s="97"/>
      <c r="I671" s="97"/>
      <c r="J671" s="97"/>
      <c r="K671" s="97"/>
      <c r="L671" s="97"/>
      <c r="M671" s="97"/>
    </row>
    <row r="672" spans="1:13" ht="15">
      <c r="A672" s="93"/>
      <c r="B672" s="97"/>
      <c r="C672" s="97"/>
      <c r="D672" s="97"/>
      <c r="E672" s="97"/>
      <c r="F672" s="197"/>
      <c r="G672" s="97"/>
      <c r="H672" s="97"/>
      <c r="I672" s="97"/>
      <c r="J672" s="97"/>
      <c r="K672" s="97"/>
      <c r="L672" s="97"/>
      <c r="M672" s="97"/>
    </row>
    <row r="673" spans="1:13" ht="15">
      <c r="A673" s="93"/>
      <c r="B673" s="97"/>
      <c r="C673" s="97"/>
      <c r="D673" s="97"/>
      <c r="E673" s="97"/>
      <c r="F673" s="97"/>
      <c r="G673" s="97"/>
      <c r="H673" s="97"/>
      <c r="I673" s="97"/>
      <c r="J673" s="97"/>
      <c r="K673" s="97"/>
      <c r="L673" s="97"/>
      <c r="M673" s="97"/>
    </row>
    <row r="674" spans="1:13" ht="15">
      <c r="A674" s="93"/>
      <c r="B674" s="97"/>
      <c r="C674" s="97"/>
      <c r="D674" s="97"/>
      <c r="E674" s="97"/>
      <c r="F674" s="97"/>
      <c r="G674" s="97"/>
      <c r="H674" s="97"/>
      <c r="I674" s="97"/>
      <c r="J674" s="97"/>
      <c r="K674" s="97"/>
      <c r="L674" s="97"/>
      <c r="M674" s="97"/>
    </row>
    <row r="675" spans="1:13" ht="15">
      <c r="A675" s="93"/>
      <c r="B675" s="97"/>
      <c r="C675" s="97"/>
      <c r="D675" s="97"/>
      <c r="E675" s="97"/>
      <c r="F675" s="97"/>
      <c r="G675" s="97"/>
      <c r="H675" s="97"/>
      <c r="I675" s="97"/>
      <c r="J675" s="97"/>
      <c r="K675" s="97"/>
      <c r="L675" s="97"/>
      <c r="M675" s="97"/>
    </row>
    <row r="676" spans="1:13" ht="15">
      <c r="A676" s="93"/>
      <c r="B676" s="97"/>
      <c r="C676" s="97"/>
      <c r="D676" s="97"/>
      <c r="E676" s="97"/>
      <c r="F676" s="97"/>
      <c r="G676" s="97"/>
      <c r="H676" s="97"/>
      <c r="I676" s="97"/>
      <c r="J676" s="93"/>
      <c r="K676" s="93"/>
      <c r="L676" s="93"/>
      <c r="M676" s="93"/>
    </row>
    <row r="677" spans="1:13" ht="15">
      <c r="A677" s="93"/>
      <c r="B677" s="196"/>
      <c r="C677" s="196"/>
      <c r="D677" s="196"/>
      <c r="E677" s="196"/>
      <c r="F677" s="196"/>
      <c r="G677" s="97"/>
      <c r="H677" s="97"/>
      <c r="I677" s="97"/>
      <c r="J677" s="97"/>
      <c r="K677" s="97"/>
      <c r="L677" s="97"/>
      <c r="M677" s="97"/>
    </row>
    <row r="678" spans="1:13" ht="15">
      <c r="A678" s="93"/>
      <c r="B678" s="174"/>
      <c r="C678" s="174"/>
      <c r="D678" s="174"/>
      <c r="E678" s="174"/>
      <c r="F678" s="174"/>
      <c r="G678" s="97"/>
      <c r="H678" s="97"/>
      <c r="I678" s="97"/>
      <c r="J678" s="97"/>
      <c r="K678" s="97"/>
      <c r="L678" s="97"/>
      <c r="M678" s="97"/>
    </row>
    <row r="679" spans="1:13" ht="15">
      <c r="A679" s="93"/>
      <c r="B679" s="174"/>
      <c r="C679" s="174"/>
      <c r="D679" s="174"/>
      <c r="E679" s="174"/>
      <c r="F679" s="174"/>
      <c r="G679" s="97"/>
      <c r="H679" s="97"/>
      <c r="I679" s="97"/>
      <c r="J679" s="97"/>
      <c r="K679" s="97"/>
      <c r="L679" s="97"/>
      <c r="M679" s="97"/>
    </row>
    <row r="680" spans="1:13" ht="15">
      <c r="A680" s="97"/>
      <c r="B680" s="174"/>
      <c r="C680" s="174"/>
      <c r="D680" s="174"/>
      <c r="E680" s="174"/>
      <c r="F680" s="174"/>
      <c r="G680" s="97"/>
      <c r="H680" s="97"/>
      <c r="I680" s="97"/>
      <c r="J680" s="97"/>
      <c r="K680" s="97"/>
      <c r="L680" s="97"/>
      <c r="M680" s="97"/>
    </row>
    <row r="681" spans="1:13" ht="15">
      <c r="A681" s="93"/>
      <c r="B681" s="194"/>
      <c r="C681" s="194"/>
      <c r="D681" s="194"/>
      <c r="E681" s="100"/>
      <c r="F681" s="194"/>
      <c r="G681" s="97"/>
      <c r="H681" s="97"/>
      <c r="I681" s="97"/>
      <c r="J681" s="97"/>
      <c r="K681" s="97"/>
      <c r="L681" s="97"/>
      <c r="M681" s="97"/>
    </row>
    <row r="682" spans="1:13" ht="15">
      <c r="A682" s="97"/>
      <c r="B682" s="194"/>
      <c r="C682" s="194"/>
      <c r="D682" s="194"/>
      <c r="E682" s="100"/>
      <c r="F682" s="194"/>
      <c r="G682" s="97"/>
      <c r="H682" s="97"/>
      <c r="I682" s="97"/>
      <c r="J682" s="97"/>
      <c r="K682" s="97"/>
      <c r="L682" s="97"/>
      <c r="M682" s="97"/>
    </row>
    <row r="683" spans="1:13" ht="15">
      <c r="A683" s="97"/>
      <c r="B683" s="194"/>
      <c r="C683" s="194"/>
      <c r="D683" s="194"/>
      <c r="E683" s="100"/>
      <c r="F683" s="194"/>
      <c r="G683" s="97"/>
      <c r="H683" s="97"/>
      <c r="I683" s="97"/>
      <c r="J683" s="97"/>
      <c r="K683" s="97"/>
      <c r="L683" s="97"/>
      <c r="M683" s="97"/>
    </row>
    <row r="684" spans="1:13" ht="15">
      <c r="A684" s="97"/>
      <c r="B684" s="194"/>
      <c r="C684" s="194"/>
      <c r="D684" s="194"/>
      <c r="E684" s="100"/>
      <c r="F684" s="194"/>
      <c r="G684" s="97"/>
      <c r="H684" s="97"/>
      <c r="I684" s="97"/>
      <c r="J684" s="97"/>
      <c r="K684" s="97"/>
      <c r="L684" s="97"/>
      <c r="M684" s="97"/>
    </row>
    <row r="685" spans="1:13" ht="15">
      <c r="A685" s="97"/>
      <c r="B685" s="194"/>
      <c r="C685" s="194"/>
      <c r="D685" s="194"/>
      <c r="E685" s="100"/>
      <c r="F685" s="194"/>
      <c r="G685" s="97"/>
      <c r="H685" s="97"/>
      <c r="I685" s="97"/>
      <c r="J685" s="97"/>
      <c r="K685" s="97"/>
      <c r="L685" s="97"/>
      <c r="M685" s="97"/>
    </row>
    <row r="686" spans="1:13" ht="15">
      <c r="A686" s="97"/>
      <c r="B686" s="194"/>
      <c r="C686" s="194"/>
      <c r="D686" s="194"/>
      <c r="E686" s="194"/>
      <c r="F686" s="194"/>
      <c r="G686" s="97"/>
      <c r="H686" s="97"/>
      <c r="I686" s="97"/>
      <c r="J686" s="97"/>
      <c r="K686" s="97"/>
      <c r="L686" s="97"/>
      <c r="M686" s="97"/>
    </row>
    <row r="687" spans="1:13" ht="15">
      <c r="A687" s="97"/>
      <c r="B687" s="194"/>
      <c r="C687" s="194"/>
      <c r="D687" s="194"/>
      <c r="E687" s="194"/>
      <c r="F687" s="194"/>
      <c r="G687" s="97"/>
      <c r="H687" s="97"/>
      <c r="I687" s="97"/>
      <c r="J687" s="97"/>
      <c r="K687" s="97"/>
      <c r="L687" s="97"/>
      <c r="M687" s="97"/>
    </row>
    <row r="688" spans="1:13" ht="15">
      <c r="A688" s="97"/>
      <c r="B688" s="194"/>
      <c r="C688" s="194"/>
      <c r="D688" s="194"/>
      <c r="E688" s="194"/>
      <c r="F688" s="194"/>
      <c r="G688" s="97"/>
      <c r="H688" s="97"/>
      <c r="I688" s="97"/>
      <c r="J688" s="97"/>
      <c r="K688" s="97"/>
      <c r="L688" s="97"/>
      <c r="M688" s="97"/>
    </row>
    <row r="689" spans="1:13" ht="15">
      <c r="A689" s="97"/>
      <c r="B689" s="97"/>
      <c r="C689" s="97"/>
      <c r="D689" s="97"/>
      <c r="E689" s="97"/>
      <c r="F689" s="97"/>
      <c r="G689" s="97"/>
      <c r="H689" s="97"/>
      <c r="I689" s="97"/>
      <c r="J689" s="97"/>
      <c r="K689" s="97"/>
      <c r="L689" s="97"/>
      <c r="M689" s="97"/>
    </row>
    <row r="690" spans="1:13" ht="15">
      <c r="A690" s="97"/>
      <c r="B690" s="97"/>
      <c r="C690" s="97"/>
      <c r="D690" s="97"/>
      <c r="E690" s="97"/>
      <c r="F690" s="97"/>
      <c r="G690" s="97"/>
      <c r="H690" s="97"/>
      <c r="I690" s="97"/>
      <c r="J690" s="97"/>
      <c r="K690" s="97"/>
      <c r="L690" s="97"/>
      <c r="M690" s="97"/>
    </row>
    <row r="691" spans="1:13" ht="15">
      <c r="A691" s="97"/>
      <c r="B691" s="97"/>
      <c r="C691" s="97"/>
      <c r="D691" s="97"/>
      <c r="E691" s="97"/>
      <c r="F691" s="97"/>
      <c r="G691" s="97"/>
      <c r="H691" s="97"/>
      <c r="I691" s="97"/>
      <c r="J691" s="97"/>
      <c r="K691" s="97"/>
      <c r="L691" s="97"/>
      <c r="M691" s="97"/>
    </row>
    <row r="692" spans="1:13" ht="15">
      <c r="A692" s="97"/>
      <c r="B692" s="194"/>
      <c r="C692" s="194"/>
      <c r="D692" s="194"/>
      <c r="E692" s="194"/>
      <c r="F692" s="194"/>
      <c r="G692" s="97"/>
      <c r="H692" s="97"/>
      <c r="I692" s="97"/>
      <c r="J692" s="97"/>
      <c r="K692" s="97"/>
      <c r="L692" s="97"/>
      <c r="M692" s="97"/>
    </row>
    <row r="693" spans="1:13" ht="15">
      <c r="A693" s="97"/>
      <c r="B693" s="97"/>
      <c r="C693" s="97"/>
      <c r="D693" s="97"/>
      <c r="E693" s="97"/>
      <c r="F693" s="97"/>
      <c r="G693" s="97"/>
      <c r="H693" s="97"/>
      <c r="I693" s="97"/>
      <c r="J693" s="97"/>
      <c r="K693" s="97"/>
      <c r="L693" s="97"/>
      <c r="M693" s="97"/>
    </row>
    <row r="694" spans="1:13" ht="15">
      <c r="A694" s="97"/>
      <c r="B694" s="97"/>
      <c r="C694" s="97"/>
      <c r="D694" s="97"/>
      <c r="E694" s="97"/>
      <c r="F694" s="97"/>
      <c r="G694" s="97"/>
      <c r="H694" s="97"/>
      <c r="I694" s="97"/>
      <c r="J694" s="97"/>
      <c r="K694" s="97"/>
      <c r="L694" s="97"/>
      <c r="M694" s="97"/>
    </row>
    <row r="695" spans="1:13" ht="15">
      <c r="A695" s="97"/>
      <c r="B695" s="97"/>
      <c r="C695" s="97"/>
      <c r="D695" s="97"/>
      <c r="E695" s="97"/>
      <c r="F695" s="97"/>
      <c r="G695" s="97"/>
      <c r="H695" s="97"/>
      <c r="I695" s="97"/>
      <c r="J695" s="97"/>
      <c r="K695" s="97"/>
      <c r="L695" s="97"/>
      <c r="M695" s="97"/>
    </row>
    <row r="696" spans="1:13" ht="15">
      <c r="A696" s="97"/>
      <c r="B696" s="97"/>
      <c r="C696" s="97"/>
      <c r="D696" s="97"/>
      <c r="E696" s="97"/>
      <c r="F696" s="97"/>
      <c r="G696" s="97"/>
      <c r="H696" s="97"/>
      <c r="I696" s="97"/>
      <c r="J696" s="97"/>
      <c r="K696" s="97"/>
      <c r="L696" s="97"/>
      <c r="M696" s="97"/>
    </row>
    <row r="697" spans="1:13" ht="15">
      <c r="A697" s="97"/>
      <c r="B697" s="195"/>
      <c r="C697" s="195"/>
      <c r="D697" s="195"/>
      <c r="E697" s="195"/>
      <c r="F697" s="195"/>
      <c r="G697" s="97"/>
      <c r="H697" s="97"/>
      <c r="I697" s="97"/>
      <c r="J697" s="97"/>
      <c r="K697" s="97"/>
      <c r="L697" s="97"/>
      <c r="M697" s="97"/>
    </row>
    <row r="698" spans="1:13" ht="15">
      <c r="A698" s="93"/>
      <c r="B698" s="93"/>
      <c r="C698" s="93"/>
      <c r="D698" s="93"/>
      <c r="E698" s="93"/>
      <c r="F698" s="93"/>
      <c r="G698" s="97"/>
      <c r="H698" s="97"/>
      <c r="I698" s="97"/>
      <c r="J698" s="97"/>
      <c r="K698" s="97"/>
      <c r="L698" s="97"/>
      <c r="M698" s="97"/>
    </row>
    <row r="699" spans="1:13" ht="15">
      <c r="A699" s="93"/>
      <c r="B699" s="196"/>
      <c r="C699" s="196"/>
      <c r="D699" s="196"/>
      <c r="E699" s="196"/>
      <c r="F699" s="196"/>
      <c r="G699" s="97"/>
      <c r="H699" s="97"/>
      <c r="I699" s="97"/>
      <c r="J699" s="97"/>
      <c r="K699" s="97"/>
      <c r="L699" s="97"/>
      <c r="M699" s="97"/>
    </row>
    <row r="700" spans="1:13" ht="15">
      <c r="A700" s="93"/>
      <c r="B700" s="97"/>
      <c r="C700" s="97"/>
      <c r="D700" s="97"/>
      <c r="E700" s="97"/>
      <c r="F700" s="97"/>
      <c r="G700" s="97"/>
      <c r="H700" s="97"/>
      <c r="I700" s="97"/>
      <c r="J700" s="97"/>
      <c r="K700" s="97"/>
      <c r="L700" s="97"/>
      <c r="M700" s="97"/>
    </row>
    <row r="701" spans="1:13" ht="15">
      <c r="A701" s="97"/>
      <c r="B701" s="97"/>
      <c r="C701" s="97"/>
      <c r="D701" s="97"/>
      <c r="E701" s="97"/>
      <c r="F701" s="97"/>
      <c r="G701" s="97"/>
      <c r="H701" s="97"/>
      <c r="I701" s="97"/>
      <c r="J701" s="97"/>
      <c r="K701" s="97"/>
      <c r="L701" s="97"/>
      <c r="M701" s="97"/>
    </row>
    <row r="702" spans="1:13" ht="15">
      <c r="A702" s="97"/>
      <c r="B702" s="97"/>
      <c r="C702" s="97"/>
      <c r="D702" s="97"/>
      <c r="E702" s="97"/>
      <c r="F702" s="97"/>
      <c r="G702" s="174"/>
      <c r="H702" s="97"/>
      <c r="I702" s="97"/>
      <c r="J702" s="97"/>
      <c r="K702" s="97"/>
      <c r="L702" s="97"/>
      <c r="M702" s="97"/>
    </row>
    <row r="703" spans="1:13" ht="15">
      <c r="A703" s="97"/>
      <c r="B703" s="97"/>
      <c r="C703" s="174"/>
      <c r="D703" s="174"/>
      <c r="E703" s="174"/>
      <c r="F703" s="174"/>
      <c r="G703" s="174"/>
      <c r="H703" s="174"/>
      <c r="I703" s="174"/>
      <c r="J703" s="174"/>
      <c r="K703" s="97"/>
      <c r="L703" s="97"/>
      <c r="M703" s="97"/>
    </row>
    <row r="704" spans="1:13" ht="15">
      <c r="A704" s="93"/>
      <c r="B704" s="93"/>
      <c r="C704" s="174"/>
      <c r="D704" s="174"/>
      <c r="E704" s="174"/>
      <c r="F704" s="174"/>
      <c r="G704" s="97"/>
      <c r="H704" s="174"/>
      <c r="I704" s="174"/>
      <c r="J704" s="174"/>
      <c r="K704" s="97"/>
      <c r="L704" s="97"/>
      <c r="M704" s="97"/>
    </row>
    <row r="705" spans="1:13" ht="15">
      <c r="A705" s="93"/>
      <c r="B705" s="97"/>
      <c r="C705" s="97"/>
      <c r="D705" s="97"/>
      <c r="E705" s="97"/>
      <c r="F705" s="97"/>
      <c r="G705" s="197"/>
      <c r="H705" s="97"/>
      <c r="I705" s="97"/>
      <c r="J705" s="97"/>
      <c r="K705" s="97"/>
      <c r="L705" s="97"/>
      <c r="M705" s="97"/>
    </row>
    <row r="706" spans="1:13" ht="15">
      <c r="A706" s="93"/>
      <c r="B706" s="97"/>
      <c r="C706" s="97"/>
      <c r="D706" s="97"/>
      <c r="E706" s="197"/>
      <c r="F706" s="97"/>
      <c r="G706" s="197"/>
      <c r="H706" s="198"/>
      <c r="I706" s="97"/>
      <c r="J706" s="97"/>
      <c r="K706" s="97"/>
      <c r="L706" s="97"/>
      <c r="M706" s="97"/>
    </row>
    <row r="707" spans="1:13" ht="15">
      <c r="A707" s="93"/>
      <c r="B707" s="97"/>
      <c r="C707" s="97"/>
      <c r="D707" s="97"/>
      <c r="E707" s="197"/>
      <c r="F707" s="97"/>
      <c r="G707" s="97"/>
      <c r="H707" s="97"/>
      <c r="I707" s="97"/>
      <c r="J707" s="97"/>
      <c r="K707" s="97"/>
      <c r="L707" s="97"/>
      <c r="M707" s="97"/>
    </row>
    <row r="708" spans="1:13" ht="15">
      <c r="A708" s="93"/>
      <c r="B708" s="97"/>
      <c r="C708" s="97"/>
      <c r="D708" s="97"/>
      <c r="E708" s="97"/>
      <c r="F708" s="97"/>
      <c r="G708" s="97"/>
      <c r="H708" s="97"/>
      <c r="I708" s="97"/>
      <c r="J708" s="97"/>
      <c r="K708" s="97"/>
      <c r="L708" s="97"/>
      <c r="M708" s="97"/>
    </row>
    <row r="709" spans="1:13" ht="15">
      <c r="A709" s="93"/>
      <c r="B709" s="97"/>
      <c r="C709" s="97"/>
      <c r="D709" s="97"/>
      <c r="E709" s="97"/>
      <c r="F709" s="97"/>
      <c r="G709" s="97"/>
      <c r="H709" s="97"/>
      <c r="I709" s="97"/>
      <c r="J709" s="97"/>
      <c r="K709" s="97"/>
      <c r="L709" s="97"/>
      <c r="M709" s="97"/>
    </row>
    <row r="710" spans="1:13" ht="15">
      <c r="A710" s="93"/>
      <c r="B710" s="97"/>
      <c r="C710" s="97"/>
      <c r="D710" s="97"/>
      <c r="E710" s="97"/>
      <c r="F710" s="97"/>
      <c r="G710" s="199"/>
      <c r="H710" s="97"/>
      <c r="I710" s="97"/>
      <c r="J710" s="97"/>
      <c r="K710" s="97"/>
      <c r="L710" s="97"/>
      <c r="M710" s="97"/>
    </row>
    <row r="711" spans="1:13" ht="15">
      <c r="A711" s="93"/>
      <c r="B711" s="158"/>
      <c r="C711" s="158"/>
      <c r="D711" s="158"/>
      <c r="E711" s="158"/>
      <c r="F711" s="158"/>
      <c r="G711" s="97"/>
      <c r="H711" s="200"/>
      <c r="I711" s="200"/>
      <c r="J711" s="201"/>
      <c r="K711" s="97"/>
      <c r="L711" s="97"/>
      <c r="M711" s="97"/>
    </row>
    <row r="712" spans="1:13" ht="15">
      <c r="A712" s="93"/>
      <c r="B712" s="97"/>
      <c r="C712" s="97"/>
      <c r="D712" s="97"/>
      <c r="E712" s="97"/>
      <c r="F712" s="97"/>
      <c r="G712" s="97"/>
      <c r="H712" s="97"/>
      <c r="I712" s="97"/>
      <c r="J712" s="97"/>
      <c r="K712" s="97"/>
      <c r="L712" s="97"/>
      <c r="M712" s="97"/>
    </row>
    <row r="713" spans="1:13" ht="15">
      <c r="A713" s="93"/>
      <c r="B713" s="97"/>
      <c r="C713" s="97"/>
      <c r="D713" s="97"/>
      <c r="E713" s="97"/>
      <c r="F713" s="97"/>
      <c r="G713" s="97"/>
      <c r="H713" s="97"/>
      <c r="I713" s="97"/>
      <c r="J713" s="97"/>
      <c r="K713" s="97"/>
      <c r="L713" s="97"/>
      <c r="M713" s="97"/>
    </row>
    <row r="714" spans="1:13" ht="15">
      <c r="A714" s="93"/>
      <c r="B714" s="97"/>
      <c r="C714" s="97"/>
      <c r="D714" s="97"/>
      <c r="E714" s="97"/>
      <c r="F714" s="97"/>
      <c r="G714" s="97"/>
      <c r="H714" s="97"/>
      <c r="I714" s="97"/>
      <c r="J714" s="97"/>
      <c r="K714" s="97"/>
      <c r="L714" s="97"/>
      <c r="M714" s="97"/>
    </row>
    <row r="715" spans="1:13" ht="15">
      <c r="A715" s="93"/>
      <c r="B715" s="97"/>
      <c r="C715" s="97"/>
      <c r="D715" s="97"/>
      <c r="E715" s="97"/>
      <c r="F715" s="97"/>
      <c r="G715" s="97"/>
      <c r="H715" s="97"/>
      <c r="I715" s="97"/>
      <c r="J715" s="97"/>
      <c r="K715" s="97"/>
      <c r="L715" s="97"/>
      <c r="M715" s="97"/>
    </row>
    <row r="716" spans="1:13" ht="15">
      <c r="A716" s="93"/>
      <c r="B716" s="97"/>
      <c r="C716" s="97"/>
      <c r="D716" s="97"/>
      <c r="E716" s="97"/>
      <c r="F716" s="97"/>
      <c r="G716" s="97"/>
      <c r="H716" s="97"/>
      <c r="I716" s="97"/>
      <c r="J716" s="97"/>
      <c r="K716" s="97"/>
      <c r="L716" s="97"/>
      <c r="M716" s="97"/>
    </row>
    <row r="717" spans="1:13" ht="15">
      <c r="A717" s="93"/>
      <c r="B717" s="97"/>
      <c r="C717" s="97"/>
      <c r="D717" s="97"/>
      <c r="E717" s="97"/>
      <c r="F717" s="197"/>
      <c r="G717" s="97"/>
      <c r="H717" s="97"/>
      <c r="I717" s="97"/>
      <c r="J717" s="97"/>
      <c r="K717" s="97"/>
      <c r="L717" s="97"/>
      <c r="M717" s="97"/>
    </row>
    <row r="718" spans="1:13" ht="15">
      <c r="A718" s="93"/>
      <c r="B718" s="97"/>
      <c r="C718" s="97"/>
      <c r="D718" s="97"/>
      <c r="E718" s="97"/>
      <c r="F718" s="97"/>
      <c r="G718" s="97"/>
      <c r="H718" s="97"/>
      <c r="I718" s="97"/>
      <c r="J718" s="97"/>
      <c r="K718" s="97"/>
      <c r="L718" s="97"/>
      <c r="M718" s="97"/>
    </row>
    <row r="719" spans="1:13" ht="15">
      <c r="A719" s="93"/>
      <c r="B719" s="97"/>
      <c r="C719" s="97"/>
      <c r="D719" s="97"/>
      <c r="E719" s="97"/>
      <c r="F719" s="97"/>
      <c r="G719" s="97"/>
      <c r="H719" s="97"/>
      <c r="I719" s="97"/>
      <c r="J719" s="97"/>
      <c r="K719" s="97"/>
      <c r="L719" s="97"/>
      <c r="M719" s="97"/>
    </row>
    <row r="720" spans="1:13" ht="15">
      <c r="A720" s="93"/>
      <c r="B720" s="97"/>
      <c r="C720" s="97"/>
      <c r="D720" s="97"/>
      <c r="E720" s="97"/>
      <c r="F720" s="97"/>
      <c r="G720" s="97"/>
      <c r="H720" s="97"/>
      <c r="I720" s="97"/>
      <c r="J720" s="97"/>
      <c r="K720" s="97"/>
      <c r="L720" s="97"/>
      <c r="M720" s="97"/>
    </row>
    <row r="721" spans="1:13" ht="15">
      <c r="A721" s="93"/>
      <c r="B721" s="97"/>
      <c r="C721" s="97"/>
      <c r="D721" s="97"/>
      <c r="E721" s="97"/>
      <c r="F721" s="97"/>
      <c r="G721" s="97"/>
      <c r="H721" s="97"/>
      <c r="I721" s="97"/>
      <c r="J721" s="93"/>
      <c r="K721" s="93"/>
      <c r="L721" s="97"/>
      <c r="M721" s="97"/>
    </row>
    <row r="722" spans="1:13" ht="15">
      <c r="A722" s="93"/>
      <c r="B722" s="196"/>
      <c r="C722" s="196"/>
      <c r="D722" s="196"/>
      <c r="E722" s="196"/>
      <c r="F722" s="196"/>
      <c r="G722" s="97"/>
      <c r="H722" s="97"/>
      <c r="I722" s="97"/>
      <c r="J722" s="97"/>
      <c r="K722" s="97"/>
      <c r="L722" s="97"/>
      <c r="M722" s="97"/>
    </row>
    <row r="723" spans="1:13" ht="15">
      <c r="A723" s="93"/>
      <c r="B723" s="174"/>
      <c r="C723" s="174"/>
      <c r="D723" s="174"/>
      <c r="E723" s="174"/>
      <c r="F723" s="174"/>
      <c r="G723" s="97"/>
      <c r="H723" s="97"/>
      <c r="I723" s="97"/>
      <c r="J723" s="97"/>
      <c r="K723" s="97"/>
      <c r="L723" s="97"/>
      <c r="M723" s="97"/>
    </row>
    <row r="724" spans="1:13" ht="15">
      <c r="A724" s="93"/>
      <c r="B724" s="174"/>
      <c r="C724" s="174"/>
      <c r="D724" s="174"/>
      <c r="E724" s="174"/>
      <c r="F724" s="174"/>
      <c r="G724" s="97"/>
      <c r="H724" s="97"/>
      <c r="I724" s="97"/>
      <c r="J724" s="97"/>
      <c r="K724" s="97"/>
      <c r="L724" s="97"/>
      <c r="M724" s="97"/>
    </row>
    <row r="725" spans="1:13" ht="15">
      <c r="A725" s="97"/>
      <c r="B725" s="174"/>
      <c r="C725" s="174"/>
      <c r="D725" s="174"/>
      <c r="E725" s="174"/>
      <c r="F725" s="174"/>
      <c r="G725" s="97"/>
      <c r="H725" s="97"/>
      <c r="I725" s="97"/>
      <c r="J725" s="97"/>
      <c r="K725" s="97"/>
      <c r="L725" s="97"/>
      <c r="M725" s="97"/>
    </row>
    <row r="726" spans="1:13" ht="15">
      <c r="A726" s="93"/>
      <c r="B726" s="194"/>
      <c r="C726" s="194"/>
      <c r="D726" s="194"/>
      <c r="E726" s="100"/>
      <c r="F726" s="194"/>
      <c r="G726" s="97"/>
      <c r="H726" s="97"/>
      <c r="I726" s="97"/>
      <c r="J726" s="97"/>
      <c r="K726" s="97"/>
      <c r="L726" s="97"/>
      <c r="M726" s="97"/>
    </row>
    <row r="727" spans="1:13" ht="15">
      <c r="A727" s="97"/>
      <c r="B727" s="194"/>
      <c r="C727" s="194"/>
      <c r="D727" s="194"/>
      <c r="E727" s="100"/>
      <c r="F727" s="194"/>
      <c r="G727" s="97"/>
      <c r="H727" s="97"/>
      <c r="I727" s="97"/>
      <c r="J727" s="97"/>
      <c r="K727" s="97"/>
      <c r="L727" s="97"/>
      <c r="M727" s="97"/>
    </row>
    <row r="728" spans="1:13" ht="15">
      <c r="A728" s="97"/>
      <c r="B728" s="194"/>
      <c r="C728" s="194"/>
      <c r="D728" s="194"/>
      <c r="E728" s="100"/>
      <c r="F728" s="194"/>
      <c r="G728" s="97"/>
      <c r="H728" s="97"/>
      <c r="I728" s="97"/>
      <c r="J728" s="97"/>
      <c r="K728" s="97"/>
      <c r="L728" s="97"/>
      <c r="M728" s="97"/>
    </row>
    <row r="729" spans="1:13" ht="15">
      <c r="A729" s="97"/>
      <c r="B729" s="194"/>
      <c r="C729" s="194"/>
      <c r="D729" s="194"/>
      <c r="E729" s="100"/>
      <c r="F729" s="194"/>
      <c r="G729" s="97"/>
      <c r="H729" s="97"/>
      <c r="I729" s="97"/>
      <c r="J729" s="97"/>
      <c r="K729" s="97"/>
      <c r="L729" s="97"/>
      <c r="M729" s="97"/>
    </row>
    <row r="730" spans="1:13" ht="15">
      <c r="A730" s="97"/>
      <c r="B730" s="194"/>
      <c r="C730" s="194"/>
      <c r="D730" s="194"/>
      <c r="E730" s="100"/>
      <c r="F730" s="194"/>
      <c r="G730" s="97"/>
      <c r="H730" s="97"/>
      <c r="I730" s="97"/>
      <c r="J730" s="97"/>
      <c r="K730" s="97"/>
      <c r="L730" s="97"/>
      <c r="M730" s="97"/>
    </row>
    <row r="731" spans="1:13" ht="15">
      <c r="A731" s="97"/>
      <c r="B731" s="194"/>
      <c r="C731" s="194"/>
      <c r="D731" s="194"/>
      <c r="E731" s="194"/>
      <c r="F731" s="194"/>
      <c r="G731" s="97"/>
      <c r="H731" s="97"/>
      <c r="I731" s="97"/>
      <c r="J731" s="97"/>
      <c r="K731" s="97"/>
      <c r="L731" s="97"/>
      <c r="M731" s="97"/>
    </row>
    <row r="732" spans="1:13" ht="15">
      <c r="A732" s="97"/>
      <c r="B732" s="194"/>
      <c r="C732" s="194"/>
      <c r="D732" s="194"/>
      <c r="E732" s="194"/>
      <c r="F732" s="194"/>
      <c r="G732" s="97"/>
      <c r="H732" s="97"/>
      <c r="I732" s="97"/>
      <c r="J732" s="97"/>
      <c r="K732" s="97"/>
      <c r="L732" s="97"/>
      <c r="M732" s="97"/>
    </row>
    <row r="733" spans="1:13" ht="15">
      <c r="A733" s="97"/>
      <c r="B733" s="194"/>
      <c r="C733" s="194"/>
      <c r="D733" s="194"/>
      <c r="E733" s="194"/>
      <c r="F733" s="194"/>
      <c r="G733" s="97"/>
      <c r="H733" s="97"/>
      <c r="I733" s="97"/>
      <c r="J733" s="97"/>
      <c r="K733" s="97"/>
      <c r="L733" s="97"/>
      <c r="M733" s="97"/>
    </row>
    <row r="734" spans="1:13" ht="15">
      <c r="A734" s="97"/>
      <c r="B734" s="97"/>
      <c r="C734" s="97"/>
      <c r="D734" s="97"/>
      <c r="E734" s="97"/>
      <c r="F734" s="97"/>
      <c r="G734" s="97"/>
      <c r="H734" s="97"/>
      <c r="I734" s="97"/>
      <c r="J734" s="97"/>
      <c r="K734" s="97"/>
      <c r="L734" s="97"/>
      <c r="M734" s="97"/>
    </row>
    <row r="735" spans="1:13" ht="15">
      <c r="A735" s="97"/>
      <c r="B735" s="97"/>
      <c r="C735" s="97"/>
      <c r="D735" s="97"/>
      <c r="E735" s="97"/>
      <c r="F735" s="97"/>
      <c r="G735" s="97"/>
      <c r="H735" s="97"/>
      <c r="I735" s="97"/>
      <c r="J735" s="97"/>
      <c r="K735" s="97"/>
      <c r="L735" s="97"/>
      <c r="M735" s="97"/>
    </row>
    <row r="736" spans="1:13" ht="15">
      <c r="A736" s="97"/>
      <c r="B736" s="97"/>
      <c r="C736" s="97"/>
      <c r="D736" s="97"/>
      <c r="E736" s="97"/>
      <c r="F736" s="97"/>
      <c r="G736" s="97"/>
      <c r="H736" s="97"/>
      <c r="I736" s="97"/>
      <c r="J736" s="97"/>
      <c r="K736" s="97"/>
      <c r="L736" s="97"/>
      <c r="M736" s="97"/>
    </row>
    <row r="737" spans="1:13" ht="15">
      <c r="A737" s="97"/>
      <c r="B737" s="194"/>
      <c r="C737" s="194"/>
      <c r="D737" s="194"/>
      <c r="E737" s="194"/>
      <c r="F737" s="194"/>
      <c r="G737" s="97"/>
      <c r="H737" s="97"/>
      <c r="I737" s="97"/>
      <c r="J737" s="97"/>
      <c r="K737" s="97"/>
      <c r="L737" s="97"/>
      <c r="M737" s="97"/>
    </row>
    <row r="738" spans="1:13" ht="15">
      <c r="A738" s="97"/>
      <c r="B738" s="97"/>
      <c r="C738" s="97"/>
      <c r="D738" s="97"/>
      <c r="E738" s="97"/>
      <c r="F738" s="97"/>
      <c r="G738" s="97"/>
      <c r="H738" s="97"/>
      <c r="I738" s="97"/>
      <c r="J738" s="97"/>
      <c r="K738" s="97"/>
      <c r="L738" s="97"/>
      <c r="M738" s="97"/>
    </row>
    <row r="739" spans="1:13" ht="15">
      <c r="A739" s="97"/>
      <c r="B739" s="97"/>
      <c r="C739" s="97"/>
      <c r="D739" s="97"/>
      <c r="E739" s="97"/>
      <c r="F739" s="97"/>
      <c r="G739" s="97"/>
      <c r="H739" s="97"/>
      <c r="I739" s="97"/>
      <c r="J739" s="97"/>
      <c r="K739" s="97"/>
      <c r="L739" s="97"/>
      <c r="M739" s="97"/>
    </row>
    <row r="740" spans="1:13" ht="15">
      <c r="A740" s="97"/>
      <c r="B740" s="97"/>
      <c r="C740" s="97"/>
      <c r="D740" s="97"/>
      <c r="E740" s="97"/>
      <c r="F740" s="97"/>
      <c r="G740" s="97"/>
      <c r="H740" s="97"/>
      <c r="I740" s="97"/>
      <c r="J740" s="97"/>
      <c r="K740" s="97"/>
      <c r="L740" s="97"/>
      <c r="M740" s="97"/>
    </row>
    <row r="741" spans="1:13" ht="15">
      <c r="A741" s="97"/>
      <c r="B741" s="97"/>
      <c r="C741" s="97"/>
      <c r="D741" s="97"/>
      <c r="E741" s="97"/>
      <c r="F741" s="97"/>
      <c r="G741" s="97"/>
      <c r="H741" s="97"/>
      <c r="I741" s="97"/>
      <c r="J741" s="97"/>
      <c r="K741" s="97"/>
      <c r="L741" s="97"/>
      <c r="M741" s="97"/>
    </row>
    <row r="742" spans="1:13" ht="15">
      <c r="A742" s="97"/>
      <c r="B742" s="195"/>
      <c r="C742" s="195"/>
      <c r="D742" s="195"/>
      <c r="E742" s="195"/>
      <c r="F742" s="195"/>
      <c r="G742" s="97"/>
      <c r="H742" s="97"/>
      <c r="I742" s="97"/>
      <c r="J742" s="97"/>
      <c r="K742" s="97"/>
      <c r="L742" s="97"/>
      <c r="M742" s="97"/>
    </row>
    <row r="743" spans="1:13" ht="15">
      <c r="A743" s="93"/>
      <c r="B743" s="93"/>
      <c r="C743" s="93"/>
      <c r="D743" s="93"/>
      <c r="E743" s="93"/>
      <c r="F743" s="93"/>
      <c r="G743" s="97"/>
      <c r="H743" s="97"/>
      <c r="I743" s="97"/>
      <c r="J743" s="97"/>
      <c r="K743" s="97"/>
      <c r="L743" s="97"/>
      <c r="M743" s="97"/>
    </row>
    <row r="744" spans="1:13" ht="15">
      <c r="A744" s="93"/>
      <c r="B744" s="196"/>
      <c r="C744" s="196"/>
      <c r="D744" s="196"/>
      <c r="E744" s="196"/>
      <c r="F744" s="196"/>
      <c r="G744" s="97"/>
      <c r="H744" s="97"/>
      <c r="I744" s="97"/>
      <c r="J744" s="97"/>
      <c r="K744" s="97"/>
      <c r="L744" s="97"/>
      <c r="M744" s="97"/>
    </row>
    <row r="745" spans="1:13" ht="15">
      <c r="A745" s="93"/>
      <c r="B745" s="97"/>
      <c r="C745" s="97"/>
      <c r="D745" s="97"/>
      <c r="E745" s="97"/>
      <c r="F745" s="97"/>
      <c r="G745" s="97"/>
      <c r="H745" s="97"/>
      <c r="I745" s="97"/>
      <c r="J745" s="97"/>
      <c r="K745" s="97"/>
      <c r="L745" s="97"/>
      <c r="M745" s="97"/>
    </row>
    <row r="746" spans="1:13" ht="15">
      <c r="A746" s="97"/>
      <c r="B746" s="97"/>
      <c r="C746" s="97"/>
      <c r="D746" s="97"/>
      <c r="E746" s="97"/>
      <c r="F746" s="97"/>
      <c r="G746" s="174"/>
      <c r="H746" s="97"/>
      <c r="I746" s="97"/>
      <c r="J746" s="97"/>
      <c r="K746" s="97"/>
      <c r="L746" s="97"/>
      <c r="M746" s="97"/>
    </row>
    <row r="747" spans="1:13" ht="15">
      <c r="A747" s="97"/>
      <c r="B747" s="97"/>
      <c r="C747" s="174"/>
      <c r="D747" s="174"/>
      <c r="E747" s="174"/>
      <c r="F747" s="174"/>
      <c r="G747" s="174"/>
      <c r="H747" s="174"/>
      <c r="I747" s="174"/>
      <c r="J747" s="174"/>
      <c r="K747" s="97"/>
      <c r="L747" s="97"/>
      <c r="M747" s="97"/>
    </row>
    <row r="748" spans="1:13" ht="15">
      <c r="A748" s="93"/>
      <c r="B748" s="93"/>
      <c r="C748" s="174"/>
      <c r="D748" s="174"/>
      <c r="E748" s="174"/>
      <c r="F748" s="174"/>
      <c r="G748" s="97"/>
      <c r="H748" s="174"/>
      <c r="I748" s="174"/>
      <c r="J748" s="174"/>
      <c r="K748" s="97"/>
      <c r="L748" s="97"/>
      <c r="M748" s="97"/>
    </row>
    <row r="749" spans="1:13" ht="15">
      <c r="A749" s="93"/>
      <c r="B749" s="97"/>
      <c r="C749" s="97"/>
      <c r="D749" s="97"/>
      <c r="E749" s="97"/>
      <c r="F749" s="97"/>
      <c r="G749" s="197"/>
      <c r="H749" s="97"/>
      <c r="I749" s="97"/>
      <c r="J749" s="97"/>
      <c r="K749" s="97"/>
      <c r="L749" s="97"/>
      <c r="M749" s="97"/>
    </row>
    <row r="750" spans="1:13" ht="15">
      <c r="A750" s="93"/>
      <c r="B750" s="97"/>
      <c r="C750" s="97"/>
      <c r="D750" s="97"/>
      <c r="E750" s="197"/>
      <c r="F750" s="97"/>
      <c r="G750" s="197"/>
      <c r="H750" s="198"/>
      <c r="I750" s="97"/>
      <c r="J750" s="97"/>
      <c r="K750" s="97"/>
      <c r="L750" s="97"/>
      <c r="M750" s="97"/>
    </row>
    <row r="751" spans="1:13" ht="15">
      <c r="A751" s="93"/>
      <c r="B751" s="97"/>
      <c r="C751" s="97"/>
      <c r="D751" s="97"/>
      <c r="E751" s="197"/>
      <c r="F751" s="97"/>
      <c r="G751" s="97"/>
      <c r="H751" s="97"/>
      <c r="I751" s="97"/>
      <c r="J751" s="97"/>
      <c r="K751" s="97"/>
      <c r="L751" s="97"/>
      <c r="M751" s="97"/>
    </row>
    <row r="752" spans="1:13" ht="15">
      <c r="A752" s="93"/>
      <c r="B752" s="97"/>
      <c r="C752" s="97"/>
      <c r="D752" s="97"/>
      <c r="E752" s="97"/>
      <c r="F752" s="97"/>
      <c r="G752" s="97"/>
      <c r="H752" s="97"/>
      <c r="I752" s="97"/>
      <c r="J752" s="97"/>
      <c r="K752" s="97"/>
      <c r="L752" s="97"/>
      <c r="M752" s="97"/>
    </row>
    <row r="753" spans="1:13" ht="15">
      <c r="A753" s="93"/>
      <c r="B753" s="97"/>
      <c r="C753" s="97"/>
      <c r="D753" s="97"/>
      <c r="E753" s="97"/>
      <c r="F753" s="97"/>
      <c r="G753" s="97"/>
      <c r="H753" s="97"/>
      <c r="I753" s="97"/>
      <c r="J753" s="97"/>
      <c r="K753" s="97"/>
      <c r="L753" s="97"/>
      <c r="M753" s="97"/>
    </row>
    <row r="754" spans="1:13" ht="15">
      <c r="A754" s="93"/>
      <c r="B754" s="97"/>
      <c r="C754" s="97"/>
      <c r="D754" s="97"/>
      <c r="E754" s="97"/>
      <c r="F754" s="97"/>
      <c r="G754" s="199"/>
      <c r="H754" s="97"/>
      <c r="I754" s="97"/>
      <c r="J754" s="97"/>
      <c r="K754" s="97"/>
      <c r="L754" s="97"/>
      <c r="M754" s="97"/>
    </row>
    <row r="755" spans="1:13" ht="15">
      <c r="A755" s="93"/>
      <c r="B755" s="158"/>
      <c r="C755" s="158"/>
      <c r="D755" s="158"/>
      <c r="E755" s="158"/>
      <c r="F755" s="158"/>
      <c r="G755" s="97"/>
      <c r="H755" s="200"/>
      <c r="I755" s="200"/>
      <c r="J755" s="201"/>
      <c r="K755" s="97"/>
      <c r="L755" s="97"/>
      <c r="M755" s="97"/>
    </row>
    <row r="756" spans="1:13" ht="15">
      <c r="A756" s="93"/>
      <c r="B756" s="97"/>
      <c r="C756" s="97"/>
      <c r="D756" s="97"/>
      <c r="E756" s="97"/>
      <c r="F756" s="97"/>
      <c r="G756" s="97"/>
      <c r="H756" s="97"/>
      <c r="I756" s="97"/>
      <c r="J756" s="97"/>
      <c r="K756" s="97"/>
      <c r="L756" s="97"/>
      <c r="M756" s="97"/>
    </row>
    <row r="757" spans="1:13" ht="15">
      <c r="A757" s="93"/>
      <c r="B757" s="97"/>
      <c r="C757" s="97"/>
      <c r="D757" s="97"/>
      <c r="E757" s="97"/>
      <c r="F757" s="97"/>
      <c r="G757" s="97"/>
      <c r="H757" s="97"/>
      <c r="I757" s="97"/>
      <c r="J757" s="97"/>
      <c r="K757" s="97"/>
      <c r="L757" s="97"/>
      <c r="M757" s="97"/>
    </row>
    <row r="758" spans="1:13" ht="15">
      <c r="A758" s="93"/>
      <c r="B758" s="97"/>
      <c r="C758" s="97"/>
      <c r="D758" s="97"/>
      <c r="E758" s="97"/>
      <c r="F758" s="97"/>
      <c r="G758" s="97"/>
      <c r="H758" s="97"/>
      <c r="I758" s="97"/>
      <c r="J758" s="97"/>
      <c r="K758" s="97"/>
      <c r="L758" s="97"/>
      <c r="M758" s="97"/>
    </row>
    <row r="759" spans="1:13" ht="15">
      <c r="A759" s="93"/>
      <c r="B759" s="97"/>
      <c r="C759" s="97"/>
      <c r="D759" s="97"/>
      <c r="E759" s="97"/>
      <c r="F759" s="97"/>
      <c r="G759" s="97"/>
      <c r="H759" s="97"/>
      <c r="I759" s="97"/>
      <c r="J759" s="97"/>
      <c r="K759" s="97"/>
      <c r="L759" s="97"/>
      <c r="M759" s="97"/>
    </row>
    <row r="760" spans="1:13" ht="15">
      <c r="A760" s="93"/>
      <c r="B760" s="97"/>
      <c r="C760" s="97"/>
      <c r="D760" s="97"/>
      <c r="E760" s="97"/>
      <c r="F760" s="97"/>
      <c r="G760" s="97"/>
      <c r="H760" s="97"/>
      <c r="I760" s="97"/>
      <c r="J760" s="97"/>
      <c r="K760" s="97"/>
      <c r="L760" s="97"/>
      <c r="M760" s="97"/>
    </row>
    <row r="761" spans="1:13" ht="15">
      <c r="A761" s="93"/>
      <c r="B761" s="97"/>
      <c r="C761" s="97"/>
      <c r="D761" s="97"/>
      <c r="E761" s="97"/>
      <c r="F761" s="197"/>
      <c r="G761" s="97"/>
      <c r="H761" s="97"/>
      <c r="I761" s="97"/>
      <c r="J761" s="97"/>
      <c r="K761" s="97"/>
      <c r="L761" s="97"/>
      <c r="M761" s="97"/>
    </row>
    <row r="762" spans="1:13" ht="15">
      <c r="A762" s="93"/>
      <c r="B762" s="97"/>
      <c r="C762" s="97"/>
      <c r="D762" s="97"/>
      <c r="E762" s="97"/>
      <c r="F762" s="97"/>
      <c r="G762" s="97"/>
      <c r="H762" s="97"/>
      <c r="I762" s="97"/>
      <c r="J762" s="97"/>
      <c r="K762" s="97"/>
      <c r="L762" s="97"/>
      <c r="M762" s="97"/>
    </row>
    <row r="763" spans="1:13" ht="15">
      <c r="A763" s="93"/>
      <c r="B763" s="97"/>
      <c r="C763" s="97"/>
      <c r="D763" s="97"/>
      <c r="E763" s="97"/>
      <c r="F763" s="97"/>
      <c r="G763" s="97"/>
      <c r="H763" s="97"/>
      <c r="I763" s="97"/>
      <c r="J763" s="97"/>
      <c r="K763" s="97"/>
      <c r="L763" s="97"/>
      <c r="M763" s="97"/>
    </row>
    <row r="764" spans="1:13" ht="15">
      <c r="A764" s="93"/>
      <c r="B764" s="97"/>
      <c r="C764" s="97"/>
      <c r="D764" s="97"/>
      <c r="E764" s="97"/>
      <c r="F764" s="97"/>
      <c r="G764" s="97"/>
      <c r="H764" s="97"/>
      <c r="I764" s="97"/>
      <c r="J764" s="97"/>
      <c r="K764" s="97"/>
      <c r="L764" s="97"/>
      <c r="M764" s="97"/>
    </row>
    <row r="765" spans="1:13" ht="15">
      <c r="A765" s="93"/>
      <c r="B765" s="97"/>
      <c r="C765" s="97"/>
      <c r="D765" s="97"/>
      <c r="E765" s="97"/>
      <c r="F765" s="97"/>
      <c r="G765" s="97"/>
      <c r="H765" s="97"/>
      <c r="I765" s="97"/>
      <c r="J765" s="93"/>
      <c r="K765" s="93"/>
      <c r="L765" s="97"/>
      <c r="M765" s="97"/>
    </row>
    <row r="766" spans="1:13" ht="15">
      <c r="A766" s="93"/>
      <c r="B766" s="196"/>
      <c r="C766" s="196"/>
      <c r="D766" s="196"/>
      <c r="E766" s="196"/>
      <c r="F766" s="196"/>
      <c r="G766" s="97"/>
      <c r="H766" s="97"/>
      <c r="I766" s="97"/>
      <c r="J766" s="97"/>
      <c r="K766" s="97"/>
      <c r="L766" s="97"/>
      <c r="M766" s="97"/>
    </row>
    <row r="767" spans="1:13" ht="15">
      <c r="A767" s="93"/>
      <c r="B767" s="174"/>
      <c r="C767" s="174"/>
      <c r="D767" s="174"/>
      <c r="E767" s="174"/>
      <c r="F767" s="174"/>
      <c r="G767" s="97"/>
      <c r="H767" s="97"/>
      <c r="I767" s="97"/>
      <c r="J767" s="97"/>
      <c r="K767" s="97"/>
      <c r="L767" s="97"/>
      <c r="M767" s="97"/>
    </row>
    <row r="768" spans="1:13" ht="15">
      <c r="A768" s="93"/>
      <c r="B768" s="174"/>
      <c r="C768" s="174"/>
      <c r="D768" s="174"/>
      <c r="E768" s="174"/>
      <c r="F768" s="174"/>
      <c r="G768" s="97"/>
      <c r="H768" s="97"/>
      <c r="I768" s="97"/>
      <c r="J768" s="97"/>
      <c r="K768" s="97"/>
      <c r="L768" s="97"/>
      <c r="M768" s="97"/>
    </row>
    <row r="769" spans="1:13" ht="15">
      <c r="A769" s="97"/>
      <c r="B769" s="174"/>
      <c r="C769" s="174"/>
      <c r="D769" s="174"/>
      <c r="E769" s="174"/>
      <c r="F769" s="174"/>
      <c r="G769" s="97"/>
      <c r="H769" s="97"/>
      <c r="I769" s="97"/>
      <c r="J769" s="97"/>
      <c r="K769" s="97"/>
      <c r="L769" s="97"/>
      <c r="M769" s="97"/>
    </row>
    <row r="770" spans="1:13" ht="15">
      <c r="A770" s="93"/>
      <c r="B770" s="194"/>
      <c r="C770" s="194"/>
      <c r="D770" s="194"/>
      <c r="E770" s="100"/>
      <c r="F770" s="194"/>
      <c r="G770" s="97"/>
      <c r="H770" s="97"/>
      <c r="I770" s="97"/>
      <c r="J770" s="97"/>
      <c r="K770" s="97"/>
      <c r="L770" s="97"/>
      <c r="M770" s="97"/>
    </row>
    <row r="771" spans="1:13" ht="15">
      <c r="A771" s="97"/>
      <c r="B771" s="194"/>
      <c r="C771" s="194"/>
      <c r="D771" s="194"/>
      <c r="E771" s="100"/>
      <c r="F771" s="194"/>
      <c r="G771" s="97"/>
      <c r="H771" s="97"/>
      <c r="I771" s="97"/>
      <c r="J771" s="97"/>
      <c r="K771" s="97"/>
      <c r="L771" s="97"/>
      <c r="M771" s="97"/>
    </row>
    <row r="772" spans="1:13" ht="15">
      <c r="A772" s="97"/>
      <c r="B772" s="194"/>
      <c r="C772" s="194"/>
      <c r="D772" s="194"/>
      <c r="E772" s="100"/>
      <c r="F772" s="194"/>
      <c r="G772" s="97"/>
      <c r="H772" s="97"/>
      <c r="I772" s="97"/>
      <c r="J772" s="97"/>
      <c r="K772" s="97"/>
      <c r="L772" s="97"/>
      <c r="M772" s="97"/>
    </row>
    <row r="773" spans="1:13" ht="15">
      <c r="A773" s="97"/>
      <c r="B773" s="194"/>
      <c r="C773" s="194"/>
      <c r="D773" s="194"/>
      <c r="E773" s="100"/>
      <c r="F773" s="194"/>
      <c r="G773" s="97"/>
      <c r="H773" s="97"/>
      <c r="I773" s="97"/>
      <c r="J773" s="97"/>
      <c r="K773" s="97"/>
      <c r="L773" s="97"/>
      <c r="M773" s="97"/>
    </row>
    <row r="774" spans="1:13" ht="15">
      <c r="A774" s="97"/>
      <c r="B774" s="194"/>
      <c r="C774" s="194"/>
      <c r="D774" s="194"/>
      <c r="E774" s="100"/>
      <c r="F774" s="194"/>
      <c r="G774" s="97"/>
      <c r="H774" s="97"/>
      <c r="I774" s="97"/>
      <c r="J774" s="97"/>
      <c r="K774" s="97"/>
      <c r="L774" s="97"/>
      <c r="M774" s="97"/>
    </row>
    <row r="775" spans="1:13" ht="15">
      <c r="A775" s="97"/>
      <c r="B775" s="194"/>
      <c r="C775" s="194"/>
      <c r="D775" s="194"/>
      <c r="E775" s="194"/>
      <c r="F775" s="194"/>
      <c r="G775" s="97"/>
      <c r="H775" s="97"/>
      <c r="I775" s="97"/>
      <c r="J775" s="97"/>
      <c r="K775" s="97"/>
      <c r="L775" s="97"/>
      <c r="M775" s="97"/>
    </row>
    <row r="776" spans="1:13" ht="15">
      <c r="A776" s="97"/>
      <c r="B776" s="194"/>
      <c r="C776" s="194"/>
      <c r="D776" s="194"/>
      <c r="E776" s="194"/>
      <c r="F776" s="194"/>
      <c r="G776" s="97"/>
      <c r="H776" s="97"/>
      <c r="I776" s="97"/>
      <c r="J776" s="97"/>
      <c r="K776" s="97"/>
      <c r="L776" s="97"/>
      <c r="M776" s="97"/>
    </row>
    <row r="777" spans="1:13" ht="15">
      <c r="A777" s="97"/>
      <c r="B777" s="194"/>
      <c r="C777" s="194"/>
      <c r="D777" s="194"/>
      <c r="E777" s="194"/>
      <c r="F777" s="194"/>
      <c r="G777" s="97"/>
      <c r="H777" s="97"/>
      <c r="I777" s="97"/>
      <c r="J777" s="97"/>
      <c r="K777" s="97"/>
      <c r="L777" s="97"/>
      <c r="M777" s="97"/>
    </row>
    <row r="778" spans="1:13" ht="15">
      <c r="A778" s="97"/>
      <c r="B778" s="97"/>
      <c r="C778" s="97"/>
      <c r="D778" s="97"/>
      <c r="E778" s="97"/>
      <c r="F778" s="97"/>
      <c r="G778" s="97"/>
      <c r="H778" s="97"/>
      <c r="I778" s="97"/>
      <c r="J778" s="97"/>
      <c r="K778" s="97"/>
      <c r="L778" s="97"/>
      <c r="M778" s="97"/>
    </row>
    <row r="779" spans="1:13" ht="15">
      <c r="A779" s="97"/>
      <c r="B779" s="97"/>
      <c r="C779" s="97"/>
      <c r="D779" s="97"/>
      <c r="E779" s="97"/>
      <c r="F779" s="97"/>
      <c r="G779" s="97"/>
      <c r="H779" s="97"/>
      <c r="I779" s="97"/>
      <c r="J779" s="97"/>
      <c r="K779" s="97"/>
      <c r="L779" s="97"/>
      <c r="M779" s="97"/>
    </row>
    <row r="780" spans="1:13" ht="15">
      <c r="A780" s="97"/>
      <c r="B780" s="97"/>
      <c r="C780" s="97"/>
      <c r="D780" s="97"/>
      <c r="E780" s="97"/>
      <c r="F780" s="97"/>
      <c r="G780" s="97"/>
      <c r="H780" s="97"/>
      <c r="I780" s="97"/>
      <c r="J780" s="97"/>
      <c r="K780" s="97"/>
      <c r="L780" s="97"/>
      <c r="M780" s="97"/>
    </row>
    <row r="781" spans="1:13" ht="15">
      <c r="A781" s="97"/>
      <c r="B781" s="194"/>
      <c r="C781" s="194"/>
      <c r="D781" s="194"/>
      <c r="E781" s="194"/>
      <c r="F781" s="194"/>
      <c r="G781" s="97"/>
      <c r="H781" s="97"/>
      <c r="I781" s="97"/>
      <c r="J781" s="97"/>
      <c r="K781" s="97"/>
      <c r="L781" s="97"/>
      <c r="M781" s="97"/>
    </row>
    <row r="782" spans="1:13" ht="15">
      <c r="A782" s="97"/>
      <c r="B782" s="97"/>
      <c r="C782" s="97"/>
      <c r="D782" s="97"/>
      <c r="E782" s="97"/>
      <c r="F782" s="97"/>
      <c r="G782" s="97"/>
      <c r="H782" s="97"/>
      <c r="I782" s="97"/>
      <c r="J782" s="97"/>
      <c r="K782" s="97"/>
      <c r="L782" s="97"/>
      <c r="M782" s="97"/>
    </row>
    <row r="783" spans="1:13" ht="15">
      <c r="A783" s="97"/>
      <c r="B783" s="97"/>
      <c r="C783" s="97"/>
      <c r="D783" s="97"/>
      <c r="E783" s="97"/>
      <c r="F783" s="97"/>
      <c r="G783" s="97"/>
      <c r="H783" s="97"/>
      <c r="I783" s="97"/>
      <c r="J783" s="97"/>
      <c r="K783" s="97"/>
      <c r="L783" s="97"/>
      <c r="M783" s="97"/>
    </row>
    <row r="784" spans="1:13" ht="15">
      <c r="A784" s="97"/>
      <c r="B784" s="97"/>
      <c r="C784" s="97"/>
      <c r="D784" s="97"/>
      <c r="E784" s="97"/>
      <c r="F784" s="97"/>
      <c r="G784" s="97"/>
      <c r="H784" s="97"/>
      <c r="I784" s="97"/>
      <c r="J784" s="97"/>
      <c r="K784" s="97"/>
      <c r="L784" s="97"/>
      <c r="M784" s="97"/>
    </row>
    <row r="785" spans="1:13" ht="15">
      <c r="A785" s="97"/>
      <c r="B785" s="97"/>
      <c r="C785" s="97"/>
      <c r="D785" s="97"/>
      <c r="E785" s="97"/>
      <c r="F785" s="97"/>
      <c r="G785" s="97"/>
      <c r="H785" s="97"/>
      <c r="I785" s="97"/>
      <c r="J785" s="97"/>
      <c r="K785" s="97"/>
      <c r="L785" s="97"/>
      <c r="M785" s="97"/>
    </row>
    <row r="786" spans="1:13" ht="15">
      <c r="A786" s="97"/>
      <c r="B786" s="195"/>
      <c r="C786" s="195"/>
      <c r="D786" s="195"/>
      <c r="E786" s="195"/>
      <c r="F786" s="195"/>
      <c r="G786" s="97"/>
      <c r="H786" s="97"/>
      <c r="I786" s="97"/>
      <c r="J786" s="97"/>
      <c r="K786" s="97"/>
      <c r="L786" s="97"/>
      <c r="M786" s="97"/>
    </row>
    <row r="787" spans="1:13" ht="15">
      <c r="A787" s="93"/>
      <c r="B787" s="93"/>
      <c r="C787" s="93"/>
      <c r="D787" s="93"/>
      <c r="E787" s="93"/>
      <c r="F787" s="93"/>
      <c r="G787" s="97"/>
      <c r="H787" s="97"/>
      <c r="I787" s="97"/>
      <c r="J787" s="97"/>
      <c r="K787" s="97"/>
      <c r="L787" s="97"/>
      <c r="M787" s="97"/>
    </row>
    <row r="788" spans="1:13" ht="15">
      <c r="A788" s="93"/>
      <c r="B788" s="196"/>
      <c r="C788" s="196"/>
      <c r="D788" s="196"/>
      <c r="E788" s="196"/>
      <c r="F788" s="196"/>
      <c r="G788" s="97"/>
      <c r="H788" s="97"/>
      <c r="I788" s="97"/>
      <c r="J788" s="97"/>
      <c r="K788" s="97"/>
      <c r="L788" s="97"/>
      <c r="M788" s="97"/>
    </row>
    <row r="789" spans="1:13" ht="15">
      <c r="A789" s="93"/>
      <c r="B789" s="97"/>
      <c r="C789" s="97"/>
      <c r="D789" s="97"/>
      <c r="E789" s="97"/>
      <c r="F789" s="97"/>
      <c r="G789" s="97"/>
      <c r="H789" s="97"/>
      <c r="I789" s="97"/>
      <c r="J789" s="97"/>
      <c r="K789" s="97"/>
      <c r="L789" s="97"/>
      <c r="M789" s="97"/>
    </row>
    <row r="790" spans="1:13" ht="15">
      <c r="A790" s="97"/>
      <c r="B790" s="97"/>
      <c r="C790" s="97"/>
      <c r="D790" s="97"/>
      <c r="E790" s="97"/>
      <c r="F790" s="97"/>
      <c r="G790" s="174"/>
      <c r="H790" s="97"/>
      <c r="I790" s="97"/>
      <c r="J790" s="97"/>
      <c r="K790" s="97"/>
      <c r="L790" s="97"/>
      <c r="M790" s="97"/>
    </row>
    <row r="791" spans="1:13" ht="15">
      <c r="A791" s="97"/>
      <c r="B791" s="97"/>
      <c r="C791" s="174"/>
      <c r="D791" s="174"/>
      <c r="E791" s="174"/>
      <c r="F791" s="174"/>
      <c r="G791" s="174"/>
      <c r="H791" s="174"/>
      <c r="I791" s="174"/>
      <c r="J791" s="174"/>
      <c r="K791" s="97"/>
      <c r="L791" s="97"/>
      <c r="M791" s="97"/>
    </row>
    <row r="792" spans="1:13" ht="15">
      <c r="A792" s="93"/>
      <c r="B792" s="93"/>
      <c r="C792" s="174"/>
      <c r="D792" s="174"/>
      <c r="E792" s="174"/>
      <c r="F792" s="174"/>
      <c r="G792" s="97"/>
      <c r="H792" s="174"/>
      <c r="I792" s="174"/>
      <c r="J792" s="174"/>
      <c r="K792" s="97"/>
      <c r="L792" s="97"/>
      <c r="M792" s="97"/>
    </row>
    <row r="793" spans="1:13" ht="15">
      <c r="A793" s="93"/>
      <c r="B793" s="97"/>
      <c r="C793" s="97"/>
      <c r="D793" s="97"/>
      <c r="E793" s="97"/>
      <c r="F793" s="97"/>
      <c r="G793" s="197"/>
      <c r="H793" s="97"/>
      <c r="I793" s="97"/>
      <c r="J793" s="97"/>
      <c r="K793" s="97"/>
      <c r="L793" s="97"/>
      <c r="M793" s="97"/>
    </row>
    <row r="794" spans="1:13" ht="15">
      <c r="A794" s="93"/>
      <c r="B794" s="97"/>
      <c r="C794" s="97"/>
      <c r="D794" s="97"/>
      <c r="E794" s="197"/>
      <c r="F794" s="97"/>
      <c r="G794" s="197"/>
      <c r="H794" s="198"/>
      <c r="I794" s="97"/>
      <c r="J794" s="97"/>
      <c r="K794" s="97"/>
      <c r="L794" s="97"/>
      <c r="M794" s="97"/>
    </row>
    <row r="795" spans="1:13" ht="15">
      <c r="A795" s="93"/>
      <c r="B795" s="97"/>
      <c r="C795" s="97"/>
      <c r="D795" s="97"/>
      <c r="E795" s="197"/>
      <c r="F795" s="97"/>
      <c r="G795" s="97"/>
      <c r="H795" s="97"/>
      <c r="I795" s="97"/>
      <c r="J795" s="97"/>
      <c r="K795" s="97"/>
      <c r="L795" s="97"/>
      <c r="M795" s="97"/>
    </row>
    <row r="796" spans="1:13" ht="15">
      <c r="A796" s="93"/>
      <c r="B796" s="97"/>
      <c r="C796" s="97"/>
      <c r="D796" s="97"/>
      <c r="E796" s="97"/>
      <c r="F796" s="97"/>
      <c r="G796" s="97"/>
      <c r="H796" s="97"/>
      <c r="I796" s="97"/>
      <c r="J796" s="97"/>
      <c r="K796" s="97"/>
      <c r="L796" s="97"/>
      <c r="M796" s="97"/>
    </row>
    <row r="797" spans="1:13" ht="15">
      <c r="A797" s="93"/>
      <c r="B797" s="97"/>
      <c r="C797" s="97"/>
      <c r="D797" s="97"/>
      <c r="E797" s="97"/>
      <c r="F797" s="97"/>
      <c r="G797" s="97"/>
      <c r="H797" s="97"/>
      <c r="I797" s="97"/>
      <c r="J797" s="97"/>
      <c r="K797" s="97"/>
      <c r="L797" s="97"/>
      <c r="M797" s="97"/>
    </row>
    <row r="798" spans="1:13" ht="15">
      <c r="A798" s="93"/>
      <c r="B798" s="97"/>
      <c r="C798" s="97"/>
      <c r="D798" s="97"/>
      <c r="E798" s="97"/>
      <c r="F798" s="97"/>
      <c r="G798" s="199"/>
      <c r="H798" s="97"/>
      <c r="I798" s="97"/>
      <c r="J798" s="97"/>
      <c r="K798" s="97"/>
      <c r="L798" s="97"/>
      <c r="M798" s="97"/>
    </row>
    <row r="799" spans="1:13" ht="15">
      <c r="A799" s="93"/>
      <c r="B799" s="158"/>
      <c r="C799" s="158"/>
      <c r="D799" s="158"/>
      <c r="E799" s="158"/>
      <c r="F799" s="158"/>
      <c r="G799" s="97"/>
      <c r="H799" s="200"/>
      <c r="I799" s="200"/>
      <c r="J799" s="201"/>
      <c r="K799" s="97"/>
      <c r="L799" s="97"/>
      <c r="M799" s="97"/>
    </row>
    <row r="800" spans="1:13" ht="15">
      <c r="A800" s="93"/>
      <c r="B800" s="97"/>
      <c r="C800" s="97"/>
      <c r="D800" s="97"/>
      <c r="E800" s="97"/>
      <c r="F800" s="97"/>
      <c r="G800" s="97"/>
      <c r="H800" s="97"/>
      <c r="I800" s="97"/>
      <c r="J800" s="97"/>
      <c r="K800" s="97"/>
      <c r="L800" s="97"/>
      <c r="M800" s="97"/>
    </row>
    <row r="801" spans="1:13" ht="15">
      <c r="A801" s="93"/>
      <c r="B801" s="97"/>
      <c r="C801" s="97"/>
      <c r="D801" s="97"/>
      <c r="E801" s="97"/>
      <c r="F801" s="97"/>
      <c r="G801" s="97"/>
      <c r="H801" s="97"/>
      <c r="I801" s="97"/>
      <c r="J801" s="97"/>
      <c r="K801" s="97"/>
      <c r="L801" s="97"/>
      <c r="M801" s="97"/>
    </row>
    <row r="802" spans="1:13" ht="15">
      <c r="A802" s="93"/>
      <c r="B802" s="97"/>
      <c r="C802" s="97"/>
      <c r="D802" s="97"/>
      <c r="E802" s="97"/>
      <c r="F802" s="97"/>
      <c r="G802" s="97"/>
      <c r="H802" s="97"/>
      <c r="I802" s="97"/>
      <c r="J802" s="97"/>
      <c r="K802" s="97"/>
      <c r="L802" s="97"/>
      <c r="M802" s="97"/>
    </row>
    <row r="803" spans="1:13" ht="15">
      <c r="A803" s="93"/>
      <c r="B803" s="97"/>
      <c r="C803" s="97"/>
      <c r="D803" s="97"/>
      <c r="E803" s="97"/>
      <c r="F803" s="97"/>
      <c r="G803" s="97"/>
      <c r="H803" s="97"/>
      <c r="I803" s="97"/>
      <c r="J803" s="97"/>
      <c r="K803" s="97"/>
      <c r="L803" s="97"/>
      <c r="M803" s="97"/>
    </row>
    <row r="804" spans="1:13" ht="15">
      <c r="A804" s="93"/>
      <c r="B804" s="97"/>
      <c r="C804" s="97"/>
      <c r="D804" s="97"/>
      <c r="E804" s="97"/>
      <c r="F804" s="97"/>
      <c r="G804" s="97"/>
      <c r="H804" s="97"/>
      <c r="I804" s="97"/>
      <c r="J804" s="97"/>
      <c r="K804" s="97"/>
      <c r="L804" s="97"/>
      <c r="M804" s="97"/>
    </row>
    <row r="805" spans="1:13" ht="15">
      <c r="A805" s="93"/>
      <c r="B805" s="97"/>
      <c r="C805" s="97"/>
      <c r="D805" s="97"/>
      <c r="E805" s="97"/>
      <c r="F805" s="197"/>
      <c r="G805" s="97"/>
      <c r="H805" s="97"/>
      <c r="I805" s="97"/>
      <c r="J805" s="97"/>
      <c r="K805" s="97"/>
      <c r="L805" s="97"/>
      <c r="M805" s="97"/>
    </row>
    <row r="806" spans="1:13" ht="15">
      <c r="A806" s="93"/>
      <c r="B806" s="97"/>
      <c r="C806" s="97"/>
      <c r="D806" s="97"/>
      <c r="E806" s="97"/>
      <c r="F806" s="97"/>
      <c r="G806" s="97"/>
      <c r="H806" s="97"/>
      <c r="I806" s="97"/>
      <c r="J806" s="97"/>
      <c r="K806" s="97"/>
      <c r="L806" s="97"/>
      <c r="M806" s="97"/>
    </row>
    <row r="807" spans="1:13" ht="15">
      <c r="A807" s="93"/>
      <c r="B807" s="97"/>
      <c r="C807" s="97"/>
      <c r="D807" s="97"/>
      <c r="E807" s="97"/>
      <c r="F807" s="97"/>
      <c r="G807" s="97"/>
      <c r="H807" s="97"/>
      <c r="I807" s="97"/>
      <c r="J807" s="97"/>
      <c r="K807" s="97"/>
      <c r="L807" s="97"/>
      <c r="M807" s="97"/>
    </row>
    <row r="808" spans="1:13" ht="15">
      <c r="A808" s="93"/>
      <c r="B808" s="97"/>
      <c r="C808" s="97"/>
      <c r="D808" s="97"/>
      <c r="E808" s="97"/>
      <c r="F808" s="97"/>
      <c r="G808" s="97"/>
      <c r="H808" s="97"/>
      <c r="I808" s="97"/>
      <c r="J808" s="97"/>
      <c r="K808" s="97"/>
      <c r="L808" s="97"/>
      <c r="M808" s="97"/>
    </row>
    <row r="809" spans="1:13" ht="15">
      <c r="A809" s="93"/>
      <c r="B809" s="97"/>
      <c r="C809" s="97"/>
      <c r="D809" s="97"/>
      <c r="E809" s="97"/>
      <c r="F809" s="97"/>
      <c r="G809" s="97"/>
      <c r="H809" s="97"/>
      <c r="I809" s="97"/>
      <c r="J809" s="93"/>
      <c r="K809" s="93"/>
      <c r="L809" s="97"/>
      <c r="M809" s="97"/>
    </row>
    <row r="810" spans="1:13" ht="15">
      <c r="A810" s="93"/>
      <c r="B810" s="196"/>
      <c r="C810" s="196"/>
      <c r="D810" s="196"/>
      <c r="E810" s="196"/>
      <c r="F810" s="196"/>
      <c r="G810" s="97"/>
      <c r="H810" s="97"/>
      <c r="I810" s="97"/>
      <c r="J810" s="97"/>
      <c r="K810" s="97"/>
      <c r="L810" s="97"/>
      <c r="M810" s="97"/>
    </row>
    <row r="811" spans="1:13" ht="15">
      <c r="A811" s="93"/>
      <c r="B811" s="174"/>
      <c r="C811" s="174"/>
      <c r="D811" s="174"/>
      <c r="E811" s="174"/>
      <c r="F811" s="174"/>
      <c r="G811" s="97"/>
      <c r="H811" s="97"/>
      <c r="I811" s="97"/>
      <c r="J811" s="97"/>
      <c r="K811" s="97"/>
      <c r="L811" s="97"/>
      <c r="M811" s="97"/>
    </row>
    <row r="812" spans="1:13" ht="15">
      <c r="A812" s="93"/>
      <c r="B812" s="174"/>
      <c r="C812" s="174"/>
      <c r="D812" s="174"/>
      <c r="E812" s="174"/>
      <c r="F812" s="174"/>
      <c r="G812" s="97"/>
      <c r="H812" s="97"/>
      <c r="I812" s="97"/>
      <c r="J812" s="97"/>
      <c r="K812" s="97"/>
      <c r="L812" s="97"/>
      <c r="M812" s="97"/>
    </row>
    <row r="813" spans="1:13" ht="15">
      <c r="A813" s="97"/>
      <c r="B813" s="174"/>
      <c r="C813" s="174"/>
      <c r="D813" s="174"/>
      <c r="E813" s="174"/>
      <c r="F813" s="174"/>
      <c r="G813" s="97"/>
      <c r="H813" s="97"/>
      <c r="I813" s="97"/>
      <c r="J813" s="97"/>
      <c r="K813" s="97"/>
      <c r="L813" s="97"/>
      <c r="M813" s="97"/>
    </row>
    <row r="814" spans="1:13" ht="15">
      <c r="A814" s="93"/>
      <c r="B814" s="194"/>
      <c r="C814" s="194"/>
      <c r="D814" s="194"/>
      <c r="E814" s="100"/>
      <c r="F814" s="194"/>
      <c r="G814" s="97"/>
      <c r="H814" s="97"/>
      <c r="I814" s="97"/>
      <c r="J814" s="97"/>
      <c r="K814" s="97"/>
      <c r="L814" s="97"/>
      <c r="M814" s="97"/>
    </row>
    <row r="815" spans="1:13" ht="15">
      <c r="A815" s="97"/>
      <c r="B815" s="194"/>
      <c r="C815" s="194"/>
      <c r="D815" s="194"/>
      <c r="E815" s="100"/>
      <c r="F815" s="194"/>
      <c r="G815" s="97"/>
      <c r="H815" s="97"/>
      <c r="I815" s="97"/>
      <c r="J815" s="97"/>
      <c r="K815" s="97"/>
      <c r="L815" s="97"/>
      <c r="M815" s="97"/>
    </row>
    <row r="816" spans="1:13" ht="15">
      <c r="A816" s="97"/>
      <c r="B816" s="194"/>
      <c r="C816" s="194"/>
      <c r="D816" s="194"/>
      <c r="E816" s="100"/>
      <c r="F816" s="194"/>
      <c r="G816" s="97"/>
      <c r="H816" s="97"/>
      <c r="I816" s="97"/>
      <c r="J816" s="97"/>
      <c r="K816" s="97"/>
      <c r="L816" s="97"/>
      <c r="M816" s="97"/>
    </row>
    <row r="817" spans="1:13" ht="15">
      <c r="A817" s="97"/>
      <c r="B817" s="194"/>
      <c r="C817" s="194"/>
      <c r="D817" s="194"/>
      <c r="E817" s="100"/>
      <c r="F817" s="194"/>
      <c r="G817" s="97"/>
      <c r="H817" s="97"/>
      <c r="I817" s="97"/>
      <c r="J817" s="97"/>
      <c r="K817" s="97"/>
      <c r="L817" s="97"/>
      <c r="M817" s="97"/>
    </row>
    <row r="818" spans="1:13" ht="15">
      <c r="A818" s="97"/>
      <c r="B818" s="194"/>
      <c r="C818" s="194"/>
      <c r="D818" s="194"/>
      <c r="E818" s="100"/>
      <c r="F818" s="194"/>
      <c r="G818" s="97"/>
      <c r="H818" s="97"/>
      <c r="I818" s="97"/>
      <c r="J818" s="97"/>
      <c r="K818" s="97"/>
      <c r="L818" s="97"/>
      <c r="M818" s="97"/>
    </row>
    <row r="819" spans="1:13" ht="15">
      <c r="A819" s="97"/>
      <c r="B819" s="194"/>
      <c r="C819" s="194"/>
      <c r="D819" s="194"/>
      <c r="E819" s="194"/>
      <c r="F819" s="194"/>
      <c r="G819" s="97"/>
      <c r="H819" s="97"/>
      <c r="I819" s="97"/>
      <c r="J819" s="97"/>
      <c r="K819" s="97"/>
      <c r="L819" s="97"/>
      <c r="M819" s="97"/>
    </row>
    <row r="820" spans="1:13" ht="15">
      <c r="A820" s="97"/>
      <c r="B820" s="194"/>
      <c r="C820" s="194"/>
      <c r="D820" s="194"/>
      <c r="E820" s="194"/>
      <c r="F820" s="194"/>
      <c r="G820" s="97"/>
      <c r="H820" s="97"/>
      <c r="I820" s="97"/>
      <c r="J820" s="97"/>
      <c r="K820" s="97"/>
      <c r="L820" s="97"/>
      <c r="M820" s="97"/>
    </row>
    <row r="821" spans="1:13" ht="15">
      <c r="A821" s="97"/>
      <c r="B821" s="194"/>
      <c r="C821" s="194"/>
      <c r="D821" s="194"/>
      <c r="E821" s="194"/>
      <c r="F821" s="194"/>
      <c r="G821" s="97"/>
      <c r="H821" s="97"/>
      <c r="I821" s="97"/>
      <c r="J821" s="97"/>
      <c r="K821" s="97"/>
      <c r="L821" s="97"/>
      <c r="M821" s="97"/>
    </row>
    <row r="822" spans="1:13" ht="15">
      <c r="A822" s="97"/>
      <c r="B822" s="97"/>
      <c r="C822" s="97"/>
      <c r="D822" s="97"/>
      <c r="E822" s="97"/>
      <c r="F822" s="97"/>
      <c r="G822" s="97"/>
      <c r="H822" s="97"/>
      <c r="I822" s="97"/>
      <c r="J822" s="97"/>
      <c r="K822" s="97"/>
      <c r="L822" s="97"/>
      <c r="M822" s="97"/>
    </row>
    <row r="823" spans="1:13" ht="15">
      <c r="A823" s="97"/>
      <c r="B823" s="97"/>
      <c r="C823" s="97"/>
      <c r="D823" s="97"/>
      <c r="E823" s="97"/>
      <c r="F823" s="97"/>
      <c r="G823" s="97"/>
      <c r="H823" s="97"/>
      <c r="I823" s="97"/>
      <c r="J823" s="97"/>
      <c r="K823" s="97"/>
      <c r="L823" s="97"/>
      <c r="M823" s="97"/>
    </row>
    <row r="824" spans="1:13" ht="15">
      <c r="A824" s="97"/>
      <c r="B824" s="97"/>
      <c r="C824" s="97"/>
      <c r="D824" s="97"/>
      <c r="E824" s="97"/>
      <c r="F824" s="97"/>
      <c r="G824" s="97"/>
      <c r="H824" s="97"/>
      <c r="I824" s="97"/>
      <c r="J824" s="97"/>
      <c r="K824" s="97"/>
      <c r="L824" s="97"/>
      <c r="M824" s="97"/>
    </row>
    <row r="825" spans="1:13" ht="15">
      <c r="A825" s="97"/>
      <c r="B825" s="194"/>
      <c r="C825" s="194"/>
      <c r="D825" s="194"/>
      <c r="E825" s="194"/>
      <c r="F825" s="194"/>
      <c r="G825" s="97"/>
      <c r="H825" s="97"/>
      <c r="I825" s="97"/>
      <c r="J825" s="97"/>
      <c r="K825" s="97"/>
      <c r="L825" s="97"/>
      <c r="M825" s="97"/>
    </row>
    <row r="826" spans="1:13" ht="15">
      <c r="A826" s="97"/>
      <c r="B826" s="97"/>
      <c r="C826" s="97"/>
      <c r="D826" s="97"/>
      <c r="E826" s="97"/>
      <c r="F826" s="97"/>
      <c r="G826" s="97"/>
      <c r="H826" s="97"/>
      <c r="I826" s="97"/>
      <c r="J826" s="97"/>
      <c r="K826" s="97"/>
      <c r="L826" s="97"/>
      <c r="M826" s="97"/>
    </row>
    <row r="827" spans="1:13" ht="15">
      <c r="A827" s="97"/>
      <c r="B827" s="97"/>
      <c r="C827" s="97"/>
      <c r="D827" s="97"/>
      <c r="E827" s="97"/>
      <c r="F827" s="97"/>
      <c r="G827" s="97"/>
      <c r="H827" s="97"/>
      <c r="I827" s="97"/>
      <c r="J827" s="97"/>
      <c r="K827" s="97"/>
      <c r="L827" s="97"/>
      <c r="M827" s="97"/>
    </row>
    <row r="828" spans="1:13" ht="15">
      <c r="A828" s="97"/>
      <c r="B828" s="97"/>
      <c r="C828" s="97"/>
      <c r="D828" s="97"/>
      <c r="E828" s="97"/>
      <c r="F828" s="97"/>
      <c r="G828" s="97"/>
      <c r="H828" s="97"/>
      <c r="I828" s="97"/>
      <c r="J828" s="97"/>
      <c r="K828" s="97"/>
      <c r="L828" s="97"/>
      <c r="M828" s="97"/>
    </row>
    <row r="829" spans="1:13" ht="15">
      <c r="A829" s="97"/>
      <c r="B829" s="97"/>
      <c r="C829" s="97"/>
      <c r="D829" s="97"/>
      <c r="E829" s="97"/>
      <c r="F829" s="97"/>
      <c r="G829" s="97"/>
      <c r="H829" s="97"/>
      <c r="I829" s="97"/>
      <c r="J829" s="97"/>
      <c r="K829" s="97"/>
      <c r="L829" s="97"/>
      <c r="M829" s="97"/>
    </row>
    <row r="830" spans="1:13" ht="15">
      <c r="A830" s="97"/>
      <c r="B830" s="195"/>
      <c r="C830" s="195"/>
      <c r="D830" s="195"/>
      <c r="E830" s="195"/>
      <c r="F830" s="195"/>
      <c r="G830" s="97"/>
      <c r="H830" s="97"/>
      <c r="I830" s="97"/>
      <c r="J830" s="97"/>
      <c r="K830" s="97"/>
      <c r="L830" s="97"/>
      <c r="M830" s="97"/>
    </row>
    <row r="831" spans="1:13" ht="15">
      <c r="A831" s="93"/>
      <c r="B831" s="93"/>
      <c r="C831" s="93"/>
      <c r="D831" s="93"/>
      <c r="E831" s="93"/>
      <c r="F831" s="93"/>
      <c r="G831" s="97"/>
      <c r="H831" s="97"/>
      <c r="I831" s="97"/>
      <c r="J831" s="97"/>
      <c r="K831" s="97"/>
      <c r="L831" s="97"/>
      <c r="M831" s="97"/>
    </row>
    <row r="832" spans="1:13" ht="15">
      <c r="A832" s="93"/>
      <c r="B832" s="196"/>
      <c r="C832" s="196"/>
      <c r="D832" s="196"/>
      <c r="E832" s="196"/>
      <c r="F832" s="196"/>
      <c r="G832" s="97"/>
      <c r="H832" s="97"/>
      <c r="I832" s="97"/>
      <c r="J832" s="97"/>
      <c r="K832" s="97"/>
      <c r="L832" s="97"/>
      <c r="M832" s="97"/>
    </row>
    <row r="833" spans="1:13" ht="15">
      <c r="A833" s="93"/>
      <c r="B833" s="97"/>
      <c r="C833" s="97"/>
      <c r="D833" s="97"/>
      <c r="E833" s="97"/>
      <c r="F833" s="97"/>
      <c r="G833" s="97"/>
      <c r="H833" s="97"/>
      <c r="I833" s="97"/>
      <c r="J833" s="97"/>
      <c r="K833" s="97"/>
      <c r="L833" s="97"/>
      <c r="M833" s="97"/>
    </row>
    <row r="834" spans="1:13" ht="15">
      <c r="A834" s="97"/>
      <c r="B834" s="97"/>
      <c r="C834" s="97"/>
      <c r="D834" s="97"/>
      <c r="E834" s="97"/>
      <c r="F834" s="97"/>
      <c r="G834" s="97"/>
      <c r="H834" s="97"/>
      <c r="I834" s="97"/>
      <c r="J834" s="97"/>
      <c r="K834" s="97"/>
      <c r="L834" s="97"/>
      <c r="M834" s="97"/>
    </row>
    <row r="835" spans="1:13" ht="15">
      <c r="A835" s="97"/>
      <c r="B835" s="97"/>
      <c r="C835" s="97"/>
      <c r="D835" s="97"/>
      <c r="E835" s="97"/>
      <c r="F835" s="97"/>
      <c r="G835" s="97"/>
      <c r="H835" s="97"/>
      <c r="I835" s="97"/>
      <c r="J835" s="97"/>
      <c r="K835" s="97"/>
      <c r="L835" s="97"/>
      <c r="M835" s="97"/>
    </row>
    <row r="836" spans="1:13" ht="15">
      <c r="A836" s="97"/>
      <c r="B836" s="97"/>
      <c r="C836" s="97"/>
      <c r="D836" s="97"/>
      <c r="E836" s="97"/>
      <c r="F836" s="97"/>
      <c r="G836" s="97"/>
      <c r="H836" s="97"/>
      <c r="I836" s="97"/>
      <c r="J836" s="97"/>
      <c r="K836" s="97"/>
      <c r="L836" s="97"/>
      <c r="M836" s="97"/>
    </row>
    <row r="837" spans="1:13" ht="15">
      <c r="A837" s="97"/>
      <c r="B837" s="97"/>
      <c r="C837" s="97"/>
      <c r="D837" s="97"/>
      <c r="E837" s="97"/>
      <c r="F837" s="97"/>
      <c r="G837" s="97"/>
      <c r="H837" s="97"/>
      <c r="I837" s="97"/>
      <c r="J837" s="97"/>
      <c r="K837" s="97"/>
      <c r="L837" s="97"/>
      <c r="M837" s="97"/>
    </row>
    <row r="838" spans="1:13" ht="15">
      <c r="A838" s="97"/>
      <c r="B838" s="97"/>
      <c r="C838" s="97"/>
      <c r="D838" s="97"/>
      <c r="E838" s="97"/>
      <c r="F838" s="97"/>
      <c r="G838" s="97"/>
      <c r="H838" s="97"/>
      <c r="I838" s="97"/>
      <c r="J838" s="97"/>
      <c r="K838" s="97"/>
      <c r="L838" s="97"/>
      <c r="M838" s="97"/>
    </row>
    <row r="839" spans="1:13" ht="15">
      <c r="A839" s="97"/>
      <c r="B839" s="97"/>
      <c r="C839" s="97"/>
      <c r="D839" s="97"/>
      <c r="E839" s="97"/>
      <c r="F839" s="97"/>
      <c r="G839" s="97"/>
      <c r="H839" s="97"/>
      <c r="I839" s="97"/>
      <c r="J839" s="97"/>
      <c r="K839" s="97"/>
      <c r="L839" s="97"/>
      <c r="M839" s="97"/>
    </row>
    <row r="840" spans="1:13" ht="15">
      <c r="A840" s="97"/>
      <c r="B840" s="97"/>
      <c r="C840" s="97"/>
      <c r="D840" s="97"/>
      <c r="E840" s="97"/>
      <c r="F840" s="97"/>
      <c r="G840" s="97"/>
      <c r="H840" s="97"/>
      <c r="I840" s="97"/>
      <c r="J840" s="97"/>
      <c r="K840" s="97"/>
      <c r="L840" s="97"/>
      <c r="M840" s="97"/>
    </row>
    <row r="841" spans="1:13" ht="15">
      <c r="A841" s="97"/>
      <c r="B841" s="97"/>
      <c r="C841" s="97"/>
      <c r="D841" s="97"/>
      <c r="E841" s="97"/>
      <c r="F841" s="97"/>
      <c r="G841" s="97"/>
      <c r="H841" s="97"/>
      <c r="I841" s="97"/>
      <c r="J841" s="97"/>
      <c r="K841" s="97"/>
      <c r="L841" s="97"/>
      <c r="M841" s="97"/>
    </row>
    <row r="842" spans="1:13" ht="15">
      <c r="A842" s="97"/>
      <c r="B842" s="97"/>
      <c r="C842" s="97"/>
      <c r="D842" s="97"/>
      <c r="E842" s="97"/>
      <c r="F842" s="97"/>
      <c r="G842" s="97"/>
      <c r="H842" s="97"/>
      <c r="I842" s="97"/>
      <c r="J842" s="97"/>
      <c r="K842" s="97"/>
      <c r="L842" s="97"/>
      <c r="M842" s="97"/>
    </row>
    <row r="843" spans="1:13" ht="15">
      <c r="A843" s="97"/>
      <c r="B843" s="97"/>
      <c r="C843" s="97"/>
      <c r="D843" s="97"/>
      <c r="E843" s="97"/>
      <c r="F843" s="97"/>
      <c r="G843" s="97"/>
      <c r="H843" s="97"/>
      <c r="I843" s="97"/>
      <c r="J843" s="97"/>
      <c r="K843" s="97"/>
      <c r="L843" s="97"/>
      <c r="M843" s="97"/>
    </row>
    <row r="844" spans="1:13" ht="15">
      <c r="A844" s="97"/>
      <c r="B844" s="97"/>
      <c r="C844" s="97"/>
      <c r="D844" s="97"/>
      <c r="E844" s="97"/>
      <c r="F844" s="97"/>
      <c r="G844" s="97"/>
      <c r="H844" s="97"/>
      <c r="I844" s="97"/>
      <c r="J844" s="97"/>
      <c r="K844" s="97"/>
      <c r="L844" s="97"/>
      <c r="M844" s="97"/>
    </row>
    <row r="845" spans="1:13" ht="15">
      <c r="A845" s="97"/>
      <c r="B845" s="97"/>
      <c r="C845" s="97"/>
      <c r="D845" s="97"/>
      <c r="E845" s="97"/>
      <c r="F845" s="97"/>
      <c r="G845" s="97"/>
      <c r="H845" s="97"/>
      <c r="I845" s="97"/>
      <c r="J845" s="97"/>
      <c r="K845" s="97"/>
      <c r="L845" s="97"/>
      <c r="M845" s="97"/>
    </row>
    <row r="846" spans="1:13" ht="15">
      <c r="A846" s="97"/>
      <c r="B846" s="97"/>
      <c r="C846" s="97"/>
      <c r="D846" s="97"/>
      <c r="E846" s="97"/>
      <c r="F846" s="97"/>
      <c r="G846" s="97"/>
      <c r="H846" s="97"/>
      <c r="I846" s="97"/>
      <c r="J846" s="97"/>
      <c r="K846" s="97"/>
      <c r="L846" s="97"/>
      <c r="M846" s="97"/>
    </row>
    <row r="847" spans="1:13" ht="15">
      <c r="A847" s="97"/>
      <c r="B847" s="97"/>
      <c r="C847" s="97"/>
      <c r="D847" s="97"/>
      <c r="E847" s="97"/>
      <c r="F847" s="97"/>
      <c r="G847" s="97"/>
      <c r="H847" s="97"/>
      <c r="I847" s="97"/>
      <c r="J847" s="97"/>
      <c r="K847" s="97"/>
      <c r="L847" s="97"/>
      <c r="M847" s="97"/>
    </row>
    <row r="848" spans="1:13" ht="15">
      <c r="A848" s="97"/>
      <c r="B848" s="97"/>
      <c r="C848" s="97"/>
      <c r="D848" s="97"/>
      <c r="E848" s="97"/>
      <c r="F848" s="97"/>
      <c r="G848" s="97"/>
      <c r="H848" s="97"/>
      <c r="I848" s="97"/>
      <c r="J848" s="97"/>
      <c r="K848" s="97"/>
      <c r="L848" s="97"/>
      <c r="M848" s="97"/>
    </row>
    <row r="849" spans="1:13" ht="15">
      <c r="A849" s="97"/>
      <c r="B849" s="97"/>
      <c r="C849" s="97"/>
      <c r="D849" s="97"/>
      <c r="E849" s="97"/>
      <c r="F849" s="97"/>
      <c r="G849" s="97"/>
      <c r="H849" s="97"/>
      <c r="I849" s="97"/>
      <c r="J849" s="97"/>
      <c r="K849" s="97"/>
      <c r="L849" s="97"/>
      <c r="M849" s="97"/>
    </row>
    <row r="850" spans="1:13" ht="15">
      <c r="A850" s="97"/>
      <c r="B850" s="97"/>
      <c r="C850" s="97"/>
      <c r="D850" s="97"/>
      <c r="E850" s="97"/>
      <c r="F850" s="97"/>
      <c r="G850" s="97"/>
      <c r="H850" s="97"/>
      <c r="I850" s="97"/>
      <c r="J850" s="97"/>
      <c r="K850" s="97"/>
      <c r="L850" s="97"/>
      <c r="M850" s="97"/>
    </row>
    <row r="851" spans="1:13" ht="15">
      <c r="A851" s="97"/>
      <c r="B851" s="97"/>
      <c r="C851" s="97"/>
      <c r="D851" s="97"/>
      <c r="E851" s="97"/>
      <c r="F851" s="97"/>
      <c r="G851" s="97"/>
      <c r="H851" s="97"/>
      <c r="I851" s="97"/>
      <c r="J851" s="97"/>
      <c r="K851" s="97"/>
      <c r="L851" s="97"/>
      <c r="M851" s="97"/>
    </row>
    <row r="852" spans="1:13" ht="15">
      <c r="A852" s="97"/>
      <c r="B852" s="97"/>
      <c r="C852" s="97"/>
      <c r="D852" s="97"/>
      <c r="E852" s="97"/>
      <c r="F852" s="97"/>
      <c r="G852" s="97"/>
      <c r="H852" s="97"/>
      <c r="I852" s="97"/>
      <c r="J852" s="97"/>
      <c r="K852" s="97"/>
      <c r="L852" s="97"/>
      <c r="M852" s="97"/>
    </row>
    <row r="853" spans="1:13" ht="15">
      <c r="A853" s="97"/>
      <c r="B853" s="97"/>
      <c r="C853" s="97"/>
      <c r="D853" s="97"/>
      <c r="E853" s="97"/>
      <c r="F853" s="97"/>
      <c r="G853" s="97"/>
      <c r="H853" s="97"/>
      <c r="I853" s="97"/>
      <c r="J853" s="97"/>
      <c r="K853" s="97"/>
      <c r="L853" s="97"/>
      <c r="M853" s="97"/>
    </row>
    <row r="854" spans="1:13" ht="15">
      <c r="A854" s="97"/>
      <c r="B854" s="97"/>
      <c r="C854" s="97"/>
      <c r="D854" s="97"/>
      <c r="E854" s="97"/>
      <c r="F854" s="97"/>
      <c r="G854" s="97"/>
      <c r="H854" s="97"/>
      <c r="I854" s="97"/>
      <c r="J854" s="97"/>
      <c r="K854" s="97"/>
      <c r="L854" s="97"/>
      <c r="M854" s="97"/>
    </row>
    <row r="855" spans="1:13" ht="15">
      <c r="A855" s="97"/>
      <c r="B855" s="97"/>
      <c r="C855" s="97"/>
      <c r="D855" s="97"/>
      <c r="E855" s="97"/>
      <c r="F855" s="97"/>
      <c r="G855" s="97"/>
      <c r="H855" s="97"/>
      <c r="I855" s="97"/>
      <c r="J855" s="97"/>
      <c r="K855" s="97"/>
      <c r="L855" s="97"/>
      <c r="M855" s="97"/>
    </row>
    <row r="856" spans="1:13" ht="15">
      <c r="A856" s="97"/>
      <c r="B856" s="97"/>
      <c r="C856" s="97"/>
      <c r="D856" s="97"/>
      <c r="E856" s="97"/>
      <c r="F856" s="97"/>
      <c r="G856" s="97"/>
      <c r="H856" s="97"/>
      <c r="I856" s="97"/>
      <c r="J856" s="97"/>
      <c r="K856" s="97"/>
      <c r="L856" s="97"/>
      <c r="M856" s="97"/>
    </row>
    <row r="857" spans="1:13" ht="15">
      <c r="A857" s="97"/>
      <c r="B857" s="97"/>
      <c r="C857" s="97"/>
      <c r="D857" s="97"/>
      <c r="E857" s="97"/>
      <c r="F857" s="97"/>
      <c r="G857" s="97"/>
      <c r="H857" s="97"/>
      <c r="I857" s="97"/>
      <c r="J857" s="97"/>
      <c r="K857" s="97"/>
      <c r="L857" s="97"/>
      <c r="M857" s="97"/>
    </row>
    <row r="858" spans="1:13" ht="15">
      <c r="A858" s="97"/>
      <c r="B858" s="97"/>
      <c r="C858" s="97"/>
      <c r="D858" s="97"/>
      <c r="E858" s="97"/>
      <c r="F858" s="97"/>
      <c r="G858" s="97"/>
      <c r="H858" s="97"/>
      <c r="I858" s="97"/>
      <c r="J858" s="97"/>
      <c r="K858" s="97"/>
      <c r="L858" s="97"/>
      <c r="M858" s="97"/>
    </row>
    <row r="859" spans="1:13" ht="15">
      <c r="A859" s="97"/>
      <c r="B859" s="97"/>
      <c r="C859" s="97"/>
      <c r="D859" s="97"/>
      <c r="E859" s="97"/>
      <c r="F859" s="97"/>
      <c r="G859" s="97"/>
      <c r="H859" s="97"/>
      <c r="I859" s="97"/>
      <c r="J859" s="97"/>
      <c r="K859" s="97"/>
      <c r="L859" s="97"/>
      <c r="M859" s="97"/>
    </row>
    <row r="860" spans="1:13" ht="15">
      <c r="A860" s="97"/>
      <c r="B860" s="97"/>
      <c r="C860" s="97"/>
      <c r="D860" s="97"/>
      <c r="E860" s="97"/>
      <c r="F860" s="97"/>
      <c r="G860" s="97"/>
      <c r="H860" s="97"/>
      <c r="I860" s="97"/>
      <c r="J860" s="97"/>
      <c r="K860" s="97"/>
      <c r="L860" s="97"/>
      <c r="M860" s="97"/>
    </row>
    <row r="861" spans="1:13" ht="15">
      <c r="A861" s="97"/>
      <c r="B861" s="97"/>
      <c r="C861" s="97"/>
      <c r="D861" s="97"/>
      <c r="E861" s="97"/>
      <c r="F861" s="97"/>
      <c r="G861" s="97"/>
      <c r="H861" s="97"/>
      <c r="I861" s="97"/>
      <c r="J861" s="97"/>
      <c r="K861" s="97"/>
      <c r="L861" s="97"/>
      <c r="M861" s="97"/>
    </row>
    <row r="862" spans="1:13" ht="15">
      <c r="A862" s="97"/>
      <c r="B862" s="97"/>
      <c r="C862" s="97"/>
      <c r="D862" s="97"/>
      <c r="E862" s="97"/>
      <c r="F862" s="97"/>
      <c r="G862" s="97"/>
      <c r="H862" s="97"/>
      <c r="I862" s="97"/>
      <c r="J862" s="97"/>
      <c r="K862" s="97"/>
      <c r="L862" s="97"/>
      <c r="M862" s="97"/>
    </row>
    <row r="863" spans="1:13" ht="15">
      <c r="A863" s="97"/>
      <c r="B863" s="97"/>
      <c r="C863" s="97"/>
      <c r="D863" s="97"/>
      <c r="E863" s="97"/>
      <c r="F863" s="97"/>
      <c r="G863" s="97"/>
      <c r="H863" s="97"/>
      <c r="I863" s="97"/>
      <c r="J863" s="97"/>
      <c r="K863" s="97"/>
      <c r="L863" s="97"/>
      <c r="M863" s="97"/>
    </row>
    <row r="864" spans="1:13" ht="15">
      <c r="A864" s="97"/>
      <c r="B864" s="97"/>
      <c r="C864" s="97"/>
      <c r="D864" s="97"/>
      <c r="E864" s="97"/>
      <c r="F864" s="97"/>
      <c r="G864" s="97"/>
      <c r="H864" s="97"/>
      <c r="I864" s="97"/>
      <c r="J864" s="97"/>
      <c r="K864" s="97"/>
      <c r="L864" s="97"/>
      <c r="M864" s="97"/>
    </row>
    <row r="865" spans="1:13" ht="15">
      <c r="A865" s="97"/>
      <c r="B865" s="97"/>
      <c r="C865" s="97"/>
      <c r="D865" s="97"/>
      <c r="E865" s="97"/>
      <c r="F865" s="97"/>
      <c r="G865" s="97"/>
      <c r="H865" s="97"/>
      <c r="I865" s="97"/>
      <c r="J865" s="97"/>
      <c r="K865" s="97"/>
      <c r="L865" s="97"/>
      <c r="M865" s="97"/>
    </row>
    <row r="866" spans="1:13" ht="15">
      <c r="A866" s="97"/>
      <c r="B866" s="97"/>
      <c r="C866" s="97"/>
      <c r="D866" s="97"/>
      <c r="E866" s="97"/>
      <c r="F866" s="97"/>
      <c r="G866" s="97"/>
      <c r="H866" s="97"/>
      <c r="I866" s="97"/>
      <c r="J866" s="97"/>
      <c r="K866" s="97"/>
      <c r="L866" s="97"/>
      <c r="M866" s="97"/>
    </row>
    <row r="867" spans="1:13" ht="15">
      <c r="A867" s="97"/>
      <c r="B867" s="97"/>
      <c r="C867" s="97"/>
      <c r="D867" s="97"/>
      <c r="E867" s="97"/>
      <c r="F867" s="97"/>
      <c r="G867" s="97"/>
      <c r="H867" s="97"/>
      <c r="I867" s="97"/>
      <c r="J867" s="97"/>
      <c r="K867" s="97"/>
      <c r="L867" s="97"/>
      <c r="M867" s="97"/>
    </row>
    <row r="868" spans="1:13" ht="15">
      <c r="A868" s="97"/>
      <c r="B868" s="97"/>
      <c r="C868" s="97"/>
      <c r="D868" s="97"/>
      <c r="E868" s="97"/>
      <c r="F868" s="97"/>
      <c r="G868" s="97"/>
      <c r="H868" s="97"/>
      <c r="I868" s="97"/>
      <c r="J868" s="97"/>
      <c r="K868" s="97"/>
      <c r="L868" s="97"/>
      <c r="M868" s="97"/>
    </row>
    <row r="869" spans="1:13" ht="15">
      <c r="A869" s="97"/>
      <c r="B869" s="97"/>
      <c r="C869" s="97"/>
      <c r="D869" s="97"/>
      <c r="E869" s="97"/>
      <c r="F869" s="97"/>
      <c r="G869" s="97"/>
      <c r="H869" s="97"/>
      <c r="I869" s="97"/>
      <c r="J869" s="97"/>
      <c r="K869" s="97"/>
      <c r="L869" s="97"/>
      <c r="M869" s="97"/>
    </row>
    <row r="870" spans="1:13" ht="15">
      <c r="A870" s="97"/>
      <c r="B870" s="97"/>
      <c r="C870" s="97"/>
      <c r="D870" s="97"/>
      <c r="E870" s="97"/>
      <c r="F870" s="97"/>
      <c r="G870" s="97"/>
      <c r="H870" s="97"/>
      <c r="I870" s="97"/>
      <c r="J870" s="97"/>
      <c r="K870" s="97"/>
      <c r="L870" s="97"/>
      <c r="M870" s="97"/>
    </row>
    <row r="871" spans="1:13" ht="15">
      <c r="A871" s="97"/>
      <c r="B871" s="97"/>
      <c r="C871" s="97"/>
      <c r="D871" s="97"/>
      <c r="E871" s="97"/>
      <c r="F871" s="97"/>
      <c r="G871" s="97"/>
      <c r="H871" s="97"/>
      <c r="I871" s="97"/>
      <c r="J871" s="97"/>
      <c r="K871" s="97"/>
      <c r="L871" s="97"/>
      <c r="M871" s="97"/>
    </row>
    <row r="872" spans="1:13" ht="15">
      <c r="A872" s="97"/>
      <c r="B872" s="97"/>
      <c r="C872" s="97"/>
      <c r="D872" s="97"/>
      <c r="E872" s="97"/>
      <c r="F872" s="97"/>
      <c r="G872" s="97"/>
      <c r="H872" s="97"/>
      <c r="I872" s="97"/>
      <c r="J872" s="97"/>
      <c r="K872" s="97"/>
      <c r="L872" s="97"/>
      <c r="M872" s="97"/>
    </row>
    <row r="873" spans="1:13" ht="15">
      <c r="A873" s="97"/>
      <c r="B873" s="97"/>
      <c r="C873" s="97"/>
      <c r="D873" s="97"/>
      <c r="E873" s="97"/>
      <c r="F873" s="97"/>
      <c r="G873" s="97"/>
      <c r="H873" s="97"/>
      <c r="I873" s="97"/>
      <c r="J873" s="97"/>
      <c r="K873" s="97"/>
      <c r="L873" s="97"/>
      <c r="M873" s="97"/>
    </row>
    <row r="874" spans="1:13" ht="15">
      <c r="A874" s="97"/>
      <c r="B874" s="97"/>
      <c r="C874" s="97"/>
      <c r="D874" s="97"/>
      <c r="E874" s="97"/>
      <c r="F874" s="97"/>
      <c r="G874" s="97"/>
      <c r="H874" s="97"/>
      <c r="I874" s="97"/>
      <c r="J874" s="97"/>
      <c r="K874" s="97"/>
      <c r="L874" s="97"/>
      <c r="M874" s="97"/>
    </row>
    <row r="875" spans="1:13" ht="15">
      <c r="A875" s="97"/>
      <c r="B875" s="97"/>
      <c r="C875" s="97"/>
      <c r="D875" s="97"/>
      <c r="E875" s="97"/>
      <c r="F875" s="97"/>
      <c r="G875" s="97"/>
      <c r="H875" s="97"/>
      <c r="I875" s="97"/>
      <c r="J875" s="97"/>
      <c r="K875" s="97"/>
      <c r="L875" s="97"/>
      <c r="M875" s="97"/>
    </row>
    <row r="876" spans="1:13" ht="15">
      <c r="A876" s="97"/>
      <c r="B876" s="97"/>
      <c r="C876" s="97"/>
      <c r="D876" s="97"/>
      <c r="E876" s="97"/>
      <c r="F876" s="97"/>
      <c r="G876" s="97"/>
      <c r="H876" s="97"/>
      <c r="I876" s="97"/>
      <c r="J876" s="97"/>
      <c r="K876" s="97"/>
      <c r="L876" s="97"/>
      <c r="M876" s="97"/>
    </row>
  </sheetData>
  <sheetProtection/>
  <printOptions/>
  <pageMargins left="0.1" right="0.5" top="0.25" bottom="0.26" header="0.25" footer="0.3"/>
  <pageSetup horizontalDpi="600" verticalDpi="600" orientation="landscape" scale="45" r:id="rId3"/>
  <headerFooter>
    <oddFooter>&amp;C&amp;P</oddFooter>
  </headerFooter>
  <rowBreaks count="9" manualBreakCount="9">
    <brk id="61" max="9" man="1"/>
    <brk id="135" max="9" man="1"/>
    <brk id="156" max="9" man="1"/>
    <brk id="215" max="9" man="1"/>
    <brk id="284" max="9" man="1"/>
    <brk id="342" max="9" man="1"/>
    <brk id="398" max="9" man="1"/>
    <brk id="439" max="9" man="1"/>
    <brk id="502" max="9" man="1"/>
  </rowBreaks>
  <legacyDrawing r:id="rId2"/>
</worksheet>
</file>

<file path=xl/worksheets/sheet7.xml><?xml version="1.0" encoding="utf-8"?>
<worksheet xmlns="http://schemas.openxmlformats.org/spreadsheetml/2006/main" xmlns:r="http://schemas.openxmlformats.org/officeDocument/2006/relationships">
  <dimension ref="A1:N904"/>
  <sheetViews>
    <sheetView view="pageBreakPreview" zoomScale="60" zoomScalePageLayoutView="0" workbookViewId="0" topLeftCell="D19">
      <selection activeCell="H53" sqref="H53:H59"/>
    </sheetView>
  </sheetViews>
  <sheetFormatPr defaultColWidth="9.140625" defaultRowHeight="15"/>
  <cols>
    <col min="1" max="1" width="68.7109375" style="0" customWidth="1"/>
    <col min="2" max="2" width="35.8515625" style="0" customWidth="1"/>
    <col min="3" max="3" width="22.140625" style="0" customWidth="1"/>
    <col min="4" max="4" width="22.421875" style="0" customWidth="1"/>
    <col min="5" max="5" width="17.140625" style="0" customWidth="1"/>
    <col min="6" max="6" width="33.140625" style="0" customWidth="1"/>
    <col min="7" max="7" width="20.8515625" style="0" customWidth="1"/>
    <col min="8" max="8" width="20.57421875" style="0" customWidth="1"/>
    <col min="9" max="9" width="21.00390625" style="0" customWidth="1"/>
    <col min="10" max="10" width="16.140625" style="0" customWidth="1"/>
    <col min="11" max="11" width="13.8515625" style="0" customWidth="1"/>
    <col min="12" max="12" width="16.140625" style="0" customWidth="1"/>
  </cols>
  <sheetData>
    <row r="1" ht="20.25">
      <c r="A1" s="1" t="s">
        <v>0</v>
      </c>
    </row>
    <row r="2" ht="20.25">
      <c r="A2" s="1" t="s">
        <v>3</v>
      </c>
    </row>
    <row r="3" spans="1:4" ht="20.25">
      <c r="A3" s="1" t="s">
        <v>1</v>
      </c>
      <c r="D3" s="207"/>
    </row>
    <row r="4" spans="1:4" ht="20.25">
      <c r="A4" s="1" t="s">
        <v>565</v>
      </c>
      <c r="D4" s="208"/>
    </row>
    <row r="5" spans="1:4" ht="20.25">
      <c r="A5" s="1" t="s">
        <v>566</v>
      </c>
      <c r="D5" s="208"/>
    </row>
    <row r="6" ht="15.75">
      <c r="D6" s="208"/>
    </row>
    <row r="8" spans="1:4" ht="20.25">
      <c r="A8" s="170" t="s">
        <v>517</v>
      </c>
      <c r="D8" s="208"/>
    </row>
    <row r="9" spans="1:4" ht="15.75">
      <c r="A9" s="209" t="s">
        <v>679</v>
      </c>
      <c r="D9" s="208"/>
    </row>
    <row r="12" spans="2:8" ht="15.75">
      <c r="B12" s="210" t="s">
        <v>678</v>
      </c>
      <c r="C12" s="123"/>
      <c r="D12" s="123"/>
      <c r="E12" s="123"/>
      <c r="F12" s="64"/>
      <c r="G12" s="64"/>
      <c r="H12" s="64"/>
    </row>
    <row r="13" spans="1:2" ht="15">
      <c r="A13" s="55" t="s">
        <v>214</v>
      </c>
      <c r="B13" s="56"/>
    </row>
    <row r="14" spans="1:10" ht="15.75" thickBot="1">
      <c r="A14" s="55" t="s">
        <v>215</v>
      </c>
      <c r="B14" t="s">
        <v>216</v>
      </c>
      <c r="C14" t="s">
        <v>217</v>
      </c>
      <c r="D14" s="2" t="s">
        <v>218</v>
      </c>
      <c r="F14" t="s">
        <v>216</v>
      </c>
      <c r="G14" t="s">
        <v>217</v>
      </c>
      <c r="H14" s="2" t="s">
        <v>218</v>
      </c>
      <c r="J14" s="2"/>
    </row>
    <row r="15" spans="1:11" ht="19.5" customHeight="1" thickBot="1">
      <c r="A15" s="57" t="s">
        <v>219</v>
      </c>
      <c r="B15" s="58" t="s">
        <v>220</v>
      </c>
      <c r="C15" s="59" t="s">
        <v>221</v>
      </c>
      <c r="D15" s="60"/>
      <c r="E15" s="57" t="s">
        <v>219</v>
      </c>
      <c r="F15" s="58" t="s">
        <v>220</v>
      </c>
      <c r="G15" s="59" t="s">
        <v>221</v>
      </c>
      <c r="H15" s="60"/>
      <c r="K15" s="2"/>
    </row>
    <row r="16" spans="1:11" ht="19.5" customHeight="1" thickBot="1">
      <c r="A16" s="57" t="s">
        <v>222</v>
      </c>
      <c r="B16" s="61" t="s">
        <v>223</v>
      </c>
      <c r="C16" s="62" t="s">
        <v>224</v>
      </c>
      <c r="D16" s="60"/>
      <c r="E16" s="57" t="s">
        <v>222</v>
      </c>
      <c r="F16" s="61" t="s">
        <v>223</v>
      </c>
      <c r="G16" s="62" t="s">
        <v>224</v>
      </c>
      <c r="H16" s="60"/>
      <c r="K16" s="2"/>
    </row>
    <row r="17" spans="1:11" ht="19.5" customHeight="1" thickBot="1">
      <c r="A17" s="57" t="s">
        <v>225</v>
      </c>
      <c r="B17" s="61" t="s">
        <v>226</v>
      </c>
      <c r="C17" s="62" t="s">
        <v>227</v>
      </c>
      <c r="D17" s="60"/>
      <c r="E17" s="57" t="s">
        <v>225</v>
      </c>
      <c r="F17" s="61" t="s">
        <v>226</v>
      </c>
      <c r="G17" s="62" t="s">
        <v>227</v>
      </c>
      <c r="H17" s="60"/>
      <c r="K17" s="2"/>
    </row>
    <row r="18" spans="1:11" ht="19.5" customHeight="1">
      <c r="A18" s="63" t="s">
        <v>228</v>
      </c>
      <c r="B18" s="60"/>
      <c r="C18" s="60"/>
      <c r="D18" s="60" t="s">
        <v>80</v>
      </c>
      <c r="E18" s="63" t="s">
        <v>228</v>
      </c>
      <c r="F18" s="60"/>
      <c r="G18" s="60"/>
      <c r="H18" s="60" t="s">
        <v>80</v>
      </c>
      <c r="J18" s="2"/>
      <c r="K18" s="56"/>
    </row>
    <row r="19" spans="2:6" ht="19.5" customHeight="1">
      <c r="B19" s="54" t="s">
        <v>229</v>
      </c>
      <c r="F19" s="54" t="s">
        <v>230</v>
      </c>
    </row>
    <row r="20" ht="19.5" customHeight="1">
      <c r="B20" s="2"/>
    </row>
    <row r="21" spans="2:12" ht="19.5" customHeight="1">
      <c r="B21" s="2"/>
      <c r="L21" s="56"/>
    </row>
    <row r="22" spans="2:12" ht="15">
      <c r="B22" s="54" t="str">
        <f>+B19</f>
        <v>Floor 1 and  2</v>
      </c>
      <c r="D22" s="32" t="s">
        <v>231</v>
      </c>
      <c r="E22" s="32" t="s">
        <v>232</v>
      </c>
      <c r="F22" s="54" t="str">
        <f>+F19</f>
        <v>Floors 3 and 4</v>
      </c>
      <c r="H22" s="32" t="s">
        <v>231</v>
      </c>
      <c r="I22" s="32" t="s">
        <v>232</v>
      </c>
      <c r="L22" s="32"/>
    </row>
    <row r="23" spans="2:12" ht="15">
      <c r="B23" t="s">
        <v>233</v>
      </c>
      <c r="C23">
        <v>1</v>
      </c>
      <c r="D23">
        <v>2</v>
      </c>
      <c r="E23">
        <f>+D23*C23</f>
        <v>2</v>
      </c>
      <c r="F23" t="s">
        <v>233</v>
      </c>
      <c r="G23">
        <v>0</v>
      </c>
      <c r="H23">
        <v>2</v>
      </c>
      <c r="I23">
        <f>+H23*G23</f>
        <v>0</v>
      </c>
      <c r="J23" s="2">
        <f>+I23+E23</f>
        <v>2</v>
      </c>
      <c r="L23" s="64"/>
    </row>
    <row r="24" spans="2:12" ht="15">
      <c r="B24" t="s">
        <v>234</v>
      </c>
      <c r="C24">
        <v>5</v>
      </c>
      <c r="D24">
        <v>2</v>
      </c>
      <c r="E24">
        <f>+D24*C24</f>
        <v>10</v>
      </c>
      <c r="F24" t="s">
        <v>234</v>
      </c>
      <c r="G24">
        <v>6</v>
      </c>
      <c r="H24">
        <v>2</v>
      </c>
      <c r="I24">
        <f>+H24*G24</f>
        <v>12</v>
      </c>
      <c r="J24" s="2">
        <f>+I24+E24</f>
        <v>22</v>
      </c>
      <c r="L24" s="64"/>
    </row>
    <row r="25" spans="2:12" ht="15">
      <c r="B25" t="s">
        <v>235</v>
      </c>
      <c r="C25">
        <v>6</v>
      </c>
      <c r="D25">
        <v>2</v>
      </c>
      <c r="E25">
        <f>+D25*C25</f>
        <v>12</v>
      </c>
      <c r="F25" t="s">
        <v>235</v>
      </c>
      <c r="G25">
        <v>6</v>
      </c>
      <c r="H25">
        <v>2</v>
      </c>
      <c r="I25">
        <f>+H25*G25</f>
        <v>12</v>
      </c>
      <c r="J25" s="2">
        <f>+I25+E25</f>
        <v>24</v>
      </c>
      <c r="L25" s="64"/>
    </row>
    <row r="26" ht="15">
      <c r="L26" s="64"/>
    </row>
    <row r="27" spans="2:12" ht="15">
      <c r="B27" s="2" t="s">
        <v>212</v>
      </c>
      <c r="C27" s="2">
        <f>SUM(C23:C25)</f>
        <v>12</v>
      </c>
      <c r="D27" s="2"/>
      <c r="E27" s="2">
        <f>SUM(E23:E25)</f>
        <v>24</v>
      </c>
      <c r="F27" s="2" t="s">
        <v>212</v>
      </c>
      <c r="G27" s="2">
        <f>SUM(G23:G25)</f>
        <v>12</v>
      </c>
      <c r="H27" s="2"/>
      <c r="I27" s="2">
        <f>SUM(I23:I25)</f>
        <v>24</v>
      </c>
      <c r="J27" s="2">
        <f>SUM(J23:J25)</f>
        <v>48</v>
      </c>
      <c r="L27" s="56"/>
    </row>
    <row r="29" spans="2:10" ht="15">
      <c r="B29" s="54" t="s">
        <v>236</v>
      </c>
      <c r="C29" s="54"/>
      <c r="D29" s="54"/>
      <c r="E29" s="54">
        <f>+E27</f>
        <v>24</v>
      </c>
      <c r="F29" s="54"/>
      <c r="G29" s="54"/>
      <c r="H29" s="54"/>
      <c r="I29" s="54">
        <f>+I27</f>
        <v>24</v>
      </c>
      <c r="J29" s="54">
        <f>+I29+E29</f>
        <v>48</v>
      </c>
    </row>
    <row r="32" spans="2:3" ht="15">
      <c r="B32" s="2" t="s">
        <v>237</v>
      </c>
      <c r="C32" s="2"/>
    </row>
    <row r="33" spans="2:3" ht="15">
      <c r="B33" s="2" t="s">
        <v>238</v>
      </c>
      <c r="C33" s="2"/>
    </row>
    <row r="34" spans="2:3" ht="15">
      <c r="B34" s="2" t="s">
        <v>239</v>
      </c>
      <c r="C34" s="2"/>
    </row>
    <row r="35" spans="2:3" ht="15">
      <c r="B35" s="2" t="s">
        <v>240</v>
      </c>
      <c r="C35" s="2"/>
    </row>
    <row r="36" spans="2:3" ht="15">
      <c r="B36" s="2" t="s">
        <v>241</v>
      </c>
      <c r="C36" s="2"/>
    </row>
    <row r="39" spans="3:12" ht="15">
      <c r="C39" s="32"/>
      <c r="D39" s="32"/>
      <c r="E39" s="32" t="s">
        <v>242</v>
      </c>
      <c r="F39" s="32"/>
      <c r="G39" s="32" t="s">
        <v>243</v>
      </c>
      <c r="H39" s="32" t="s">
        <v>244</v>
      </c>
      <c r="I39" s="32" t="s">
        <v>245</v>
      </c>
      <c r="J39" s="32" t="s">
        <v>246</v>
      </c>
      <c r="K39" s="32"/>
      <c r="L39" s="32"/>
    </row>
    <row r="40" spans="2:12" ht="15">
      <c r="B40" s="54" t="s">
        <v>213</v>
      </c>
      <c r="C40" s="32" t="s">
        <v>247</v>
      </c>
      <c r="D40" s="32" t="s">
        <v>248</v>
      </c>
      <c r="E40" s="32" t="s">
        <v>249</v>
      </c>
      <c r="F40" s="32" t="s">
        <v>250</v>
      </c>
      <c r="G40" s="32" t="s">
        <v>251</v>
      </c>
      <c r="H40" s="32" t="s">
        <v>251</v>
      </c>
      <c r="I40" s="32" t="s">
        <v>252</v>
      </c>
      <c r="J40" s="32" t="s">
        <v>251</v>
      </c>
      <c r="K40" s="65"/>
      <c r="L40" s="32"/>
    </row>
    <row r="41" ht="15">
      <c r="K41" s="66"/>
    </row>
    <row r="42" spans="2:11" ht="15">
      <c r="B42" t="s">
        <v>253</v>
      </c>
      <c r="C42">
        <f>30+25+6</f>
        <v>61</v>
      </c>
      <c r="D42">
        <v>126</v>
      </c>
      <c r="E42" s="30">
        <f>+D42*C42</f>
        <v>7686</v>
      </c>
      <c r="F42">
        <v>1</v>
      </c>
      <c r="G42" s="30">
        <f>+E42*F42</f>
        <v>7686</v>
      </c>
      <c r="H42" s="67">
        <f>+G42/43560</f>
        <v>0.17644628099173554</v>
      </c>
      <c r="K42" s="66"/>
    </row>
    <row r="43" spans="5:11" ht="15">
      <c r="E43" s="30"/>
      <c r="G43" s="30"/>
      <c r="K43" s="66"/>
    </row>
    <row r="44" ht="15">
      <c r="K44" s="66"/>
    </row>
    <row r="45" ht="15">
      <c r="K45" s="66"/>
    </row>
    <row r="46" ht="15">
      <c r="K46" s="66"/>
    </row>
    <row r="47" spans="2:11" ht="15">
      <c r="B47" s="68" t="s">
        <v>254</v>
      </c>
      <c r="C47" s="68"/>
      <c r="D47" s="68"/>
      <c r="E47" s="68"/>
      <c r="F47" s="68">
        <f>SUM(F42:F43)</f>
        <v>1</v>
      </c>
      <c r="G47" s="69">
        <f>SUM(G42:G43)</f>
        <v>7686</v>
      </c>
      <c r="H47" s="70">
        <f>SUM(H42:H43)</f>
        <v>0.17644628099173554</v>
      </c>
      <c r="I47" s="71">
        <f>0.3*H47</f>
        <v>0.05293388429752066</v>
      </c>
      <c r="J47" s="72">
        <f>+H47+I47</f>
        <v>0.2293801652892562</v>
      </c>
      <c r="K47" s="73"/>
    </row>
    <row r="49" spans="2:6" ht="15">
      <c r="B49" t="s">
        <v>255</v>
      </c>
      <c r="F49">
        <v>4</v>
      </c>
    </row>
    <row r="51" spans="2:6" ht="15">
      <c r="B51" t="s">
        <v>256</v>
      </c>
      <c r="F51">
        <f>+J27</f>
        <v>48</v>
      </c>
    </row>
    <row r="53" spans="2:10" ht="15">
      <c r="B53" t="s">
        <v>257</v>
      </c>
      <c r="F53" s="30">
        <f>+F51*F57</f>
        <v>96</v>
      </c>
      <c r="H53" t="s">
        <v>258</v>
      </c>
      <c r="J53" s="74">
        <f>+J57*F51</f>
        <v>96</v>
      </c>
    </row>
    <row r="55" spans="2:6" ht="15">
      <c r="B55" t="s">
        <v>488</v>
      </c>
      <c r="F55" s="30">
        <f>+F53*7</f>
        <v>672</v>
      </c>
    </row>
    <row r="57" spans="2:10" ht="15">
      <c r="B57" t="s">
        <v>259</v>
      </c>
      <c r="F57">
        <f>+J57</f>
        <v>2</v>
      </c>
      <c r="H57" t="s">
        <v>260</v>
      </c>
      <c r="J57">
        <v>2</v>
      </c>
    </row>
    <row r="59" spans="8:13" ht="15">
      <c r="H59" s="2" t="s">
        <v>702</v>
      </c>
      <c r="J59" s="2">
        <f>+J47*J57</f>
        <v>0.4587603305785124</v>
      </c>
      <c r="L59" s="2"/>
      <c r="M59" s="2"/>
    </row>
    <row r="62" spans="3:6" ht="15">
      <c r="C62" s="32" t="s">
        <v>262</v>
      </c>
      <c r="D62" s="32" t="s">
        <v>263</v>
      </c>
      <c r="E62" s="32" t="s">
        <v>262</v>
      </c>
      <c r="F62" s="32" t="s">
        <v>264</v>
      </c>
    </row>
    <row r="63" spans="3:6" ht="15">
      <c r="C63" s="32" t="s">
        <v>265</v>
      </c>
      <c r="D63" s="32" t="s">
        <v>266</v>
      </c>
      <c r="E63" s="32" t="s">
        <v>267</v>
      </c>
      <c r="F63" s="32" t="s">
        <v>266</v>
      </c>
    </row>
    <row r="64" spans="1:8" ht="15">
      <c r="A64" t="s">
        <v>268</v>
      </c>
      <c r="B64" s="75" t="s">
        <v>269</v>
      </c>
      <c r="C64" s="10">
        <f>61/4*2</f>
        <v>30.5</v>
      </c>
      <c r="D64" s="76">
        <f>+(C64*4)*1.1*2</f>
        <v>268.40000000000003</v>
      </c>
      <c r="E64" s="10" t="s">
        <v>80</v>
      </c>
      <c r="F64" s="10"/>
      <c r="H64" s="77">
        <v>6000</v>
      </c>
    </row>
    <row r="65" spans="1:8" ht="15">
      <c r="A65" t="s">
        <v>268</v>
      </c>
      <c r="B65" s="78" t="s">
        <v>270</v>
      </c>
      <c r="C65" s="79"/>
      <c r="D65" s="80"/>
      <c r="E65" s="79">
        <f>126/4*2</f>
        <v>63</v>
      </c>
      <c r="F65" s="79">
        <f>+E65*4*1.1*2</f>
        <v>554.4000000000001</v>
      </c>
      <c r="H65" s="77"/>
    </row>
    <row r="66" spans="1:8" ht="15">
      <c r="A66" s="81" t="s">
        <v>271</v>
      </c>
      <c r="B66" s="82"/>
      <c r="C66" s="83"/>
      <c r="D66" s="84">
        <f>SUM(D64:D65)</f>
        <v>268.40000000000003</v>
      </c>
      <c r="E66" s="83"/>
      <c r="F66" s="84">
        <f>SUM(F64:F65)</f>
        <v>554.4000000000001</v>
      </c>
      <c r="H66" s="77"/>
    </row>
    <row r="67" spans="1:8" ht="15">
      <c r="A67" t="s">
        <v>272</v>
      </c>
      <c r="B67" t="s">
        <v>273</v>
      </c>
      <c r="C67" s="10">
        <f>25*6/4</f>
        <v>37.5</v>
      </c>
      <c r="D67" s="76">
        <f>+(C67*4)*1.1</f>
        <v>165</v>
      </c>
      <c r="E67" s="10"/>
      <c r="F67" s="10"/>
      <c r="H67" s="77"/>
    </row>
    <row r="68" spans="1:8" ht="15">
      <c r="A68" t="s">
        <v>272</v>
      </c>
      <c r="B68" t="s">
        <v>274</v>
      </c>
      <c r="C68" s="10"/>
      <c r="D68" s="76"/>
      <c r="E68" s="10">
        <f>20*6/4</f>
        <v>30</v>
      </c>
      <c r="F68" s="79">
        <f>+E68*4*1.1</f>
        <v>132</v>
      </c>
      <c r="H68" s="77"/>
    </row>
    <row r="69" spans="1:8" ht="15">
      <c r="A69" s="81" t="s">
        <v>275</v>
      </c>
      <c r="B69" s="82"/>
      <c r="C69" s="83"/>
      <c r="D69" s="84">
        <f>SUM(D67:D68)</f>
        <v>165</v>
      </c>
      <c r="E69" s="83"/>
      <c r="F69" s="84">
        <f>SUM(F67:F68)</f>
        <v>132</v>
      </c>
      <c r="H69" s="77"/>
    </row>
    <row r="70" spans="1:8" ht="15">
      <c r="A70" t="s">
        <v>276</v>
      </c>
      <c r="B70" t="s">
        <v>277</v>
      </c>
      <c r="C70" s="10">
        <f>30*6/4</f>
        <v>45</v>
      </c>
      <c r="D70" s="76">
        <f>+(C70*4)*1.1</f>
        <v>198.00000000000003</v>
      </c>
      <c r="E70" s="10"/>
      <c r="F70" s="10"/>
      <c r="H70" s="77"/>
    </row>
    <row r="71" spans="1:8" ht="15">
      <c r="A71" t="s">
        <v>276</v>
      </c>
      <c r="B71" t="s">
        <v>274</v>
      </c>
      <c r="C71" s="10"/>
      <c r="D71" s="76"/>
      <c r="E71" s="10">
        <f>20*6/4</f>
        <v>30</v>
      </c>
      <c r="F71" s="79">
        <f>+E71*4*1.1</f>
        <v>132</v>
      </c>
      <c r="H71" s="77"/>
    </row>
    <row r="72" spans="1:8" ht="15">
      <c r="A72" s="81" t="s">
        <v>278</v>
      </c>
      <c r="B72" s="82"/>
      <c r="C72" s="83"/>
      <c r="D72" s="84">
        <f>SUM(D70:D71)</f>
        <v>198.00000000000003</v>
      </c>
      <c r="E72" s="83"/>
      <c r="F72" s="84">
        <f>SUM(F70:F71)</f>
        <v>132</v>
      </c>
      <c r="H72" s="77"/>
    </row>
    <row r="73" spans="1:8" ht="15">
      <c r="A73" s="85"/>
      <c r="B73" s="86"/>
      <c r="C73" s="87"/>
      <c r="D73" s="88"/>
      <c r="E73" s="87"/>
      <c r="F73" s="88"/>
      <c r="H73" s="77"/>
    </row>
    <row r="74" spans="1:8" ht="15.75" thickBot="1">
      <c r="A74" s="89" t="s">
        <v>279</v>
      </c>
      <c r="B74" s="90"/>
      <c r="C74" s="91"/>
      <c r="D74" s="92">
        <f>+D66+D69+D72</f>
        <v>631.4000000000001</v>
      </c>
      <c r="E74" s="91"/>
      <c r="F74" s="92">
        <f>+F66+F69+F72</f>
        <v>818.4000000000001</v>
      </c>
      <c r="G74" s="91">
        <f>SUM(D74:F74)</f>
        <v>1449.8000000000002</v>
      </c>
      <c r="H74" s="77">
        <v>928.4000000000001</v>
      </c>
    </row>
    <row r="75" spans="1:8" ht="15.75" thickTop="1">
      <c r="A75" s="93"/>
      <c r="B75" s="94"/>
      <c r="C75" s="95"/>
      <c r="D75" s="96"/>
      <c r="E75" s="95"/>
      <c r="F75" s="96"/>
      <c r="G75" s="95"/>
      <c r="H75" s="77"/>
    </row>
    <row r="76" spans="1:8" ht="15">
      <c r="A76" s="97"/>
      <c r="B76" s="98"/>
      <c r="C76" s="99" t="s">
        <v>280</v>
      </c>
      <c r="D76" t="s">
        <v>80</v>
      </c>
      <c r="E76" s="100"/>
      <c r="F76" s="101" t="s">
        <v>281</v>
      </c>
      <c r="H76" s="77"/>
    </row>
    <row r="77" spans="1:8" ht="15">
      <c r="A77" s="97" t="s">
        <v>282</v>
      </c>
      <c r="B77" s="100">
        <f>10+10+7+5+4+1+5+2</f>
        <v>44</v>
      </c>
      <c r="C77" s="101">
        <f>+J23</f>
        <v>2</v>
      </c>
      <c r="D77" s="101">
        <f>+B77*C77</f>
        <v>88</v>
      </c>
      <c r="E77" s="100"/>
      <c r="F77" s="101">
        <f>+D77*0.1</f>
        <v>8.8</v>
      </c>
      <c r="G77" s="10">
        <f>+D77+F77</f>
        <v>96.8</v>
      </c>
      <c r="H77" s="77">
        <f>+G77*G85</f>
        <v>5324</v>
      </c>
    </row>
    <row r="78" spans="1:8" ht="15">
      <c r="A78" s="97" t="s">
        <v>283</v>
      </c>
      <c r="B78" s="102">
        <f>10+7+7+4+4+7+6+1</f>
        <v>46</v>
      </c>
      <c r="C78" s="101">
        <f>+J24</f>
        <v>22</v>
      </c>
      <c r="D78" s="101">
        <f>+B78*C78</f>
        <v>1012</v>
      </c>
      <c r="E78" s="100"/>
      <c r="F78" s="101">
        <f>+D78*0.1</f>
        <v>101.2</v>
      </c>
      <c r="G78" s="10">
        <f>+D78+F78</f>
        <v>1113.2</v>
      </c>
      <c r="H78" s="77">
        <f>+G78*G85</f>
        <v>61226</v>
      </c>
    </row>
    <row r="79" spans="1:8" ht="15">
      <c r="A79" s="97" t="s">
        <v>284</v>
      </c>
      <c r="B79" s="102">
        <f>10+6+8+4+8+7+6+3+6+9+3</f>
        <v>70</v>
      </c>
      <c r="C79" s="101">
        <f>+J25</f>
        <v>24</v>
      </c>
      <c r="D79" s="101">
        <f>+B79*C79</f>
        <v>1680</v>
      </c>
      <c r="E79" s="100"/>
      <c r="F79" s="101">
        <f>+D79*0.1</f>
        <v>168</v>
      </c>
      <c r="G79" s="10">
        <f>+D79+F79</f>
        <v>1848</v>
      </c>
      <c r="H79" s="77">
        <f>+G79*G85</f>
        <v>101640</v>
      </c>
    </row>
    <row r="80" spans="1:8" ht="15">
      <c r="A80" s="97"/>
      <c r="B80" s="102"/>
      <c r="C80" s="100"/>
      <c r="D80" s="101"/>
      <c r="E80" s="100"/>
      <c r="F80" s="101"/>
      <c r="G80" s="10"/>
      <c r="H80" s="77"/>
    </row>
    <row r="81" spans="1:9" ht="15.75" thickBot="1">
      <c r="A81" s="89" t="s">
        <v>285</v>
      </c>
      <c r="B81" s="103"/>
      <c r="C81" s="92">
        <f aca="true" t="shared" si="0" ref="C81:H81">SUM(C77:C79)</f>
        <v>48</v>
      </c>
      <c r="D81" s="92">
        <f t="shared" si="0"/>
        <v>2780</v>
      </c>
      <c r="E81" s="92">
        <f t="shared" si="0"/>
        <v>0</v>
      </c>
      <c r="F81" s="92">
        <f t="shared" si="0"/>
        <v>278</v>
      </c>
      <c r="G81" s="92">
        <f t="shared" si="0"/>
        <v>3058</v>
      </c>
      <c r="H81" s="77">
        <f t="shared" si="0"/>
        <v>168190</v>
      </c>
      <c r="I81" s="101">
        <f>+G81*G85</f>
        <v>168190</v>
      </c>
    </row>
    <row r="82" spans="1:8" ht="15.75" thickTop="1">
      <c r="A82" s="93"/>
      <c r="B82" s="104"/>
      <c r="C82" s="96"/>
      <c r="D82" s="96"/>
      <c r="E82" s="96"/>
      <c r="F82" s="96"/>
      <c r="G82" s="96"/>
      <c r="H82" s="77"/>
    </row>
    <row r="83" spans="1:8" ht="15">
      <c r="A83" t="s">
        <v>286</v>
      </c>
      <c r="B83" s="11"/>
      <c r="C83" s="10"/>
      <c r="D83" s="76"/>
      <c r="E83" s="10"/>
      <c r="F83" s="10"/>
      <c r="G83" s="10">
        <f>+G74+G81</f>
        <v>4507.8</v>
      </c>
      <c r="H83" s="77"/>
    </row>
    <row r="84" spans="2:8" ht="15">
      <c r="B84" s="105"/>
      <c r="C84" s="10"/>
      <c r="D84" s="76"/>
      <c r="E84" s="10"/>
      <c r="F84" s="10"/>
      <c r="H84" s="77"/>
    </row>
    <row r="85" spans="1:8" ht="15">
      <c r="A85" t="s">
        <v>287</v>
      </c>
      <c r="B85" s="105"/>
      <c r="D85" s="76"/>
      <c r="E85" s="10"/>
      <c r="F85" s="10"/>
      <c r="G85" s="10">
        <v>55</v>
      </c>
      <c r="H85" s="77"/>
    </row>
    <row r="86" spans="2:8" ht="15">
      <c r="B86" s="105"/>
      <c r="D86" s="76"/>
      <c r="E86" s="10"/>
      <c r="F86" s="10"/>
      <c r="G86" s="10"/>
      <c r="H86" s="77"/>
    </row>
    <row r="87" spans="1:8" ht="15.75" thickBot="1">
      <c r="A87" s="106" t="s">
        <v>288</v>
      </c>
      <c r="B87" s="107"/>
      <c r="C87" s="106"/>
      <c r="D87" s="108"/>
      <c r="E87" s="109"/>
      <c r="F87" s="108"/>
      <c r="G87" s="109">
        <f>+G85*G83</f>
        <v>247929</v>
      </c>
      <c r="H87" s="77"/>
    </row>
    <row r="88" spans="1:8" ht="15">
      <c r="A88" s="93"/>
      <c r="B88" s="104"/>
      <c r="C88" s="96"/>
      <c r="D88" s="96"/>
      <c r="E88" s="96"/>
      <c r="F88" s="96"/>
      <c r="G88" s="96"/>
      <c r="H88" s="77"/>
    </row>
    <row r="89" spans="1:8" ht="15">
      <c r="A89" s="93" t="s">
        <v>289</v>
      </c>
      <c r="B89" s="104"/>
      <c r="C89" s="96"/>
      <c r="D89" s="96"/>
      <c r="E89" s="96"/>
      <c r="F89" s="96"/>
      <c r="G89" s="96"/>
      <c r="H89" s="77"/>
    </row>
    <row r="90" spans="1:9" ht="15">
      <c r="A90" s="97" t="s">
        <v>290</v>
      </c>
      <c r="B90" s="100">
        <f>10+10+7+5+4+1+5+2</f>
        <v>44</v>
      </c>
      <c r="C90" s="101">
        <f>+C77</f>
        <v>2</v>
      </c>
      <c r="D90" s="101">
        <v>6</v>
      </c>
      <c r="E90" s="100"/>
      <c r="F90" s="101">
        <f>+(B90*C90)*1.1</f>
        <v>96.80000000000001</v>
      </c>
      <c r="G90" s="10">
        <f>+F90*D90</f>
        <v>580.8000000000001</v>
      </c>
      <c r="H90" s="77"/>
      <c r="I90" s="10"/>
    </row>
    <row r="91" spans="1:8" ht="15">
      <c r="A91" s="97" t="s">
        <v>291</v>
      </c>
      <c r="B91" s="102">
        <f>10+7+7+4+4+7+6+1</f>
        <v>46</v>
      </c>
      <c r="C91" s="101">
        <f>+C78</f>
        <v>22</v>
      </c>
      <c r="D91" s="101">
        <v>6</v>
      </c>
      <c r="E91" s="100"/>
      <c r="F91" s="101">
        <f>+(B91*C91)*1.1</f>
        <v>1113.2</v>
      </c>
      <c r="G91" s="10">
        <f>+F91*D91</f>
        <v>6679.200000000001</v>
      </c>
      <c r="H91" s="77"/>
    </row>
    <row r="92" spans="1:8" ht="15">
      <c r="A92" s="97" t="s">
        <v>292</v>
      </c>
      <c r="B92" s="102">
        <f>10+6+8+4+8+7+6+3+6+9+3</f>
        <v>70</v>
      </c>
      <c r="C92" s="101">
        <f>+C79</f>
        <v>24</v>
      </c>
      <c r="D92" s="101">
        <v>6</v>
      </c>
      <c r="E92" s="100"/>
      <c r="F92" s="101">
        <f>+(B92*C92)*1.1</f>
        <v>1848.0000000000002</v>
      </c>
      <c r="G92" s="10">
        <f>+F92*D92</f>
        <v>11088.000000000002</v>
      </c>
      <c r="H92" s="77"/>
    </row>
    <row r="93" spans="1:8" ht="15">
      <c r="A93" s="97"/>
      <c r="B93" s="102"/>
      <c r="C93" s="101"/>
      <c r="D93" s="101"/>
      <c r="E93" s="100"/>
      <c r="F93" s="101"/>
      <c r="G93" s="10"/>
      <c r="H93" s="77"/>
    </row>
    <row r="94" spans="1:8" ht="15">
      <c r="A94" s="93" t="s">
        <v>293</v>
      </c>
      <c r="B94" s="102"/>
      <c r="C94" s="101"/>
      <c r="D94" s="101"/>
      <c r="E94" s="100"/>
      <c r="F94" s="101"/>
      <c r="G94" s="10"/>
      <c r="H94" s="77"/>
    </row>
    <row r="95" spans="1:8" ht="15">
      <c r="A95" t="s">
        <v>268</v>
      </c>
      <c r="B95" s="75" t="s">
        <v>269</v>
      </c>
      <c r="C95" s="101">
        <f>+C64*4*2*1.1</f>
        <v>268.40000000000003</v>
      </c>
      <c r="D95" s="101">
        <f>+D90</f>
        <v>6</v>
      </c>
      <c r="E95" s="100"/>
      <c r="F95" s="101"/>
      <c r="G95" s="10">
        <f>+C95*D95</f>
        <v>1610.4</v>
      </c>
      <c r="H95" s="77"/>
    </row>
    <row r="96" spans="1:8" ht="15">
      <c r="A96" t="s">
        <v>268</v>
      </c>
      <c r="B96" s="78" t="s">
        <v>270</v>
      </c>
      <c r="C96" s="101"/>
      <c r="D96" s="101"/>
      <c r="E96" s="100">
        <f>+E65*4*2*1.1</f>
        <v>554.4000000000001</v>
      </c>
      <c r="F96" s="101">
        <f>+D95</f>
        <v>6</v>
      </c>
      <c r="G96" s="10">
        <f>+E96*F96</f>
        <v>3326.4000000000005</v>
      </c>
      <c r="H96" s="77"/>
    </row>
    <row r="97" spans="1:8" ht="15">
      <c r="A97" t="s">
        <v>294</v>
      </c>
      <c r="B97" t="s">
        <v>273</v>
      </c>
      <c r="C97" s="101">
        <f>+C67*4*1.1</f>
        <v>165</v>
      </c>
      <c r="D97" s="101">
        <f>+D95</f>
        <v>6</v>
      </c>
      <c r="E97" s="100"/>
      <c r="F97" s="101"/>
      <c r="G97" s="10">
        <f>+C97*D97</f>
        <v>990</v>
      </c>
      <c r="H97" s="77"/>
    </row>
    <row r="98" spans="1:8" ht="15">
      <c r="A98" t="s">
        <v>294</v>
      </c>
      <c r="B98" t="s">
        <v>274</v>
      </c>
      <c r="C98" s="101"/>
      <c r="D98" s="101"/>
      <c r="E98" s="100">
        <f>+E68*4*1.1</f>
        <v>132</v>
      </c>
      <c r="F98" s="101">
        <f>+F96</f>
        <v>6</v>
      </c>
      <c r="G98" s="10">
        <f>+E98*F98</f>
        <v>792</v>
      </c>
      <c r="H98" s="77"/>
    </row>
    <row r="99" spans="1:8" ht="15">
      <c r="A99" t="s">
        <v>295</v>
      </c>
      <c r="B99" t="s">
        <v>277</v>
      </c>
      <c r="C99" s="101">
        <f>+C70*4*1.1</f>
        <v>198.00000000000003</v>
      </c>
      <c r="D99" s="101">
        <f>+D95</f>
        <v>6</v>
      </c>
      <c r="E99" s="100"/>
      <c r="F99" s="101"/>
      <c r="G99" s="10">
        <f>+C99*D99</f>
        <v>1188.0000000000002</v>
      </c>
      <c r="H99" s="77"/>
    </row>
    <row r="100" spans="1:8" ht="15">
      <c r="A100" t="s">
        <v>295</v>
      </c>
      <c r="B100" t="s">
        <v>274</v>
      </c>
      <c r="C100" s="101"/>
      <c r="D100" s="101"/>
      <c r="E100" s="100">
        <f>+E71*4*1.1</f>
        <v>132</v>
      </c>
      <c r="F100" s="101">
        <f>+F96</f>
        <v>6</v>
      </c>
      <c r="G100" s="10">
        <f>+E100*F100</f>
        <v>792</v>
      </c>
      <c r="H100" s="77"/>
    </row>
    <row r="101" spans="1:8" ht="15">
      <c r="A101" s="93"/>
      <c r="B101" s="104"/>
      <c r="C101" s="96"/>
      <c r="D101" s="96"/>
      <c r="E101" s="96"/>
      <c r="F101" s="96"/>
      <c r="G101" s="96"/>
      <c r="H101" s="77"/>
    </row>
    <row r="102" spans="1:8" ht="15.75" thickBot="1">
      <c r="A102" s="110" t="s">
        <v>296</v>
      </c>
      <c r="B102" s="111"/>
      <c r="C102" s="112">
        <f>SUM(C95:C99)</f>
        <v>631.4000000000001</v>
      </c>
      <c r="D102" s="112"/>
      <c r="E102" s="112">
        <f>SUM(E96:E100)</f>
        <v>818.4000000000001</v>
      </c>
      <c r="F102" s="112">
        <f>SUM(F89:F92)</f>
        <v>3058</v>
      </c>
      <c r="G102" s="112">
        <f>SUM(G90:G100)</f>
        <v>27046.800000000007</v>
      </c>
      <c r="H102" s="77"/>
    </row>
    <row r="103" spans="2:8" ht="15.75" thickTop="1">
      <c r="B103" s="11"/>
      <c r="C103" s="10"/>
      <c r="D103" s="76"/>
      <c r="E103" s="10"/>
      <c r="F103" s="10"/>
      <c r="G103" s="10"/>
      <c r="H103" s="77"/>
    </row>
    <row r="104" spans="1:8" ht="15">
      <c r="A104" s="2" t="s">
        <v>297</v>
      </c>
      <c r="B104" s="105"/>
      <c r="D104" s="76"/>
      <c r="E104" s="10"/>
      <c r="F104" s="10"/>
      <c r="H104" s="77"/>
    </row>
    <row r="105" spans="1:8" ht="15">
      <c r="A105" t="s">
        <v>298</v>
      </c>
      <c r="B105" s="105"/>
      <c r="C105" s="30">
        <v>0</v>
      </c>
      <c r="D105" s="114">
        <v>4</v>
      </c>
      <c r="E105" s="30"/>
      <c r="F105" s="30"/>
      <c r="G105" s="30">
        <f>+C105*D105</f>
        <v>0</v>
      </c>
      <c r="H105" s="77"/>
    </row>
    <row r="106" spans="1:8" ht="15">
      <c r="A106" t="s">
        <v>299</v>
      </c>
      <c r="B106" s="105">
        <v>48</v>
      </c>
      <c r="C106" s="30">
        <v>2</v>
      </c>
      <c r="D106" s="76">
        <v>150</v>
      </c>
      <c r="E106" s="30"/>
      <c r="F106" s="30"/>
      <c r="G106" s="10">
        <f>+C106*D106*B106</f>
        <v>14400</v>
      </c>
      <c r="H106" s="77"/>
    </row>
    <row r="107" spans="2:8" ht="15">
      <c r="B107" s="105"/>
      <c r="D107" s="76"/>
      <c r="E107" s="10"/>
      <c r="F107" s="10"/>
      <c r="G107" s="10"/>
      <c r="H107" s="77"/>
    </row>
    <row r="108" spans="1:8" ht="15.75" thickBot="1">
      <c r="A108" s="106" t="s">
        <v>300</v>
      </c>
      <c r="B108" s="107"/>
      <c r="C108" s="106"/>
      <c r="D108" s="108"/>
      <c r="E108" s="109"/>
      <c r="F108" s="109"/>
      <c r="G108" s="109">
        <f>SUM(G105:G106)</f>
        <v>14400</v>
      </c>
      <c r="H108" s="77">
        <f>+G108/48</f>
        <v>300</v>
      </c>
    </row>
    <row r="109" spans="2:8" ht="15">
      <c r="B109" s="105"/>
      <c r="D109" s="172" t="s">
        <v>491</v>
      </c>
      <c r="E109" s="10"/>
      <c r="F109" s="10"/>
      <c r="G109" s="171" t="s">
        <v>492</v>
      </c>
      <c r="H109" s="77"/>
    </row>
    <row r="110" spans="1:8" ht="15">
      <c r="A110" s="2" t="s">
        <v>301</v>
      </c>
      <c r="B110" s="105"/>
      <c r="D110" s="76"/>
      <c r="E110" s="115" t="s">
        <v>302</v>
      </c>
      <c r="F110" s="10"/>
      <c r="H110" s="77"/>
    </row>
    <row r="111" spans="1:8" ht="15">
      <c r="A111" t="s">
        <v>303</v>
      </c>
      <c r="B111" t="s">
        <v>304</v>
      </c>
      <c r="C111" s="30">
        <v>48</v>
      </c>
      <c r="D111" s="116">
        <v>100</v>
      </c>
      <c r="E111" s="10"/>
      <c r="F111" s="10"/>
      <c r="G111" s="10">
        <f>+C111*D111</f>
        <v>4800</v>
      </c>
      <c r="H111" s="77"/>
    </row>
    <row r="112" spans="1:8" ht="15">
      <c r="A112" t="s">
        <v>305</v>
      </c>
      <c r="B112" s="105">
        <v>26</v>
      </c>
      <c r="C112" s="30">
        <v>48</v>
      </c>
      <c r="D112" s="116">
        <v>16</v>
      </c>
      <c r="E112" s="10"/>
      <c r="F112" s="10"/>
      <c r="G112" s="10">
        <f>+C112*D112</f>
        <v>768</v>
      </c>
      <c r="H112" s="77"/>
    </row>
    <row r="113" spans="1:8" ht="15">
      <c r="A113" t="s">
        <v>306</v>
      </c>
      <c r="B113" s="105">
        <v>3</v>
      </c>
      <c r="C113" s="30">
        <v>48</v>
      </c>
      <c r="D113" s="116">
        <v>1</v>
      </c>
      <c r="E113" s="10">
        <f>SUM(D111:D113)</f>
        <v>117</v>
      </c>
      <c r="F113" s="10"/>
      <c r="G113" s="10">
        <f aca="true" t="shared" si="1" ref="G113:G132">+C113*D113</f>
        <v>48</v>
      </c>
      <c r="H113" s="77"/>
    </row>
    <row r="114" spans="1:8" ht="15">
      <c r="A114" s="2" t="s">
        <v>307</v>
      </c>
      <c r="H114" s="77"/>
    </row>
    <row r="115" spans="1:8" ht="15">
      <c r="A115" t="s">
        <v>308</v>
      </c>
      <c r="C115">
        <f>+J23*2</f>
        <v>4</v>
      </c>
      <c r="D115" s="76">
        <v>50</v>
      </c>
      <c r="G115" s="10">
        <f t="shared" si="1"/>
        <v>200</v>
      </c>
      <c r="H115" s="77"/>
    </row>
    <row r="116" spans="1:8" ht="15">
      <c r="A116" t="s">
        <v>309</v>
      </c>
      <c r="B116" s="105">
        <v>3</v>
      </c>
      <c r="C116" s="117">
        <f>+C115</f>
        <v>4</v>
      </c>
      <c r="D116" s="76">
        <f>+D113</f>
        <v>1</v>
      </c>
      <c r="G116" s="10">
        <f t="shared" si="1"/>
        <v>4</v>
      </c>
      <c r="H116" s="77"/>
    </row>
    <row r="117" spans="1:8" ht="15">
      <c r="A117" t="s">
        <v>310</v>
      </c>
      <c r="B117">
        <v>25</v>
      </c>
      <c r="C117">
        <f>+C115</f>
        <v>4</v>
      </c>
      <c r="D117" s="116">
        <v>16</v>
      </c>
      <c r="G117" s="10">
        <f t="shared" si="1"/>
        <v>64</v>
      </c>
      <c r="H117" s="77"/>
    </row>
    <row r="118" spans="1:8" ht="15">
      <c r="A118" s="2" t="s">
        <v>311</v>
      </c>
      <c r="D118" s="76"/>
      <c r="G118" s="10">
        <f t="shared" si="1"/>
        <v>0</v>
      </c>
      <c r="H118" s="77"/>
    </row>
    <row r="119" spans="1:8" ht="15">
      <c r="A119" t="s">
        <v>312</v>
      </c>
      <c r="C119">
        <f>+J24*3</f>
        <v>66</v>
      </c>
      <c r="D119" s="76">
        <f>+D115</f>
        <v>50</v>
      </c>
      <c r="G119" s="10">
        <f t="shared" si="1"/>
        <v>3300</v>
      </c>
      <c r="H119" s="77"/>
    </row>
    <row r="120" spans="1:8" ht="15">
      <c r="A120" t="s">
        <v>309</v>
      </c>
      <c r="B120">
        <v>3</v>
      </c>
      <c r="C120">
        <f>+C119</f>
        <v>66</v>
      </c>
      <c r="D120" s="76">
        <f>+D113</f>
        <v>1</v>
      </c>
      <c r="G120" s="10">
        <f t="shared" si="1"/>
        <v>66</v>
      </c>
      <c r="H120" s="77"/>
    </row>
    <row r="121" spans="1:8" ht="15">
      <c r="A121" t="s">
        <v>310</v>
      </c>
      <c r="B121">
        <v>25</v>
      </c>
      <c r="C121">
        <f>+C119</f>
        <v>66</v>
      </c>
      <c r="D121" s="76">
        <f>+D117</f>
        <v>16</v>
      </c>
      <c r="G121" s="10">
        <f t="shared" si="1"/>
        <v>1056</v>
      </c>
      <c r="H121" s="77"/>
    </row>
    <row r="122" spans="1:8" ht="15">
      <c r="A122" s="2" t="s">
        <v>313</v>
      </c>
      <c r="D122" s="76"/>
      <c r="G122" s="10">
        <f t="shared" si="1"/>
        <v>0</v>
      </c>
      <c r="H122" s="77"/>
    </row>
    <row r="123" spans="1:8" ht="15">
      <c r="A123" t="s">
        <v>314</v>
      </c>
      <c r="C123">
        <f>+J25*4</f>
        <v>96</v>
      </c>
      <c r="D123" s="76">
        <f>+D115</f>
        <v>50</v>
      </c>
      <c r="G123" s="10">
        <f t="shared" si="1"/>
        <v>4800</v>
      </c>
      <c r="H123" s="77"/>
    </row>
    <row r="124" spans="1:8" ht="15">
      <c r="A124" t="s">
        <v>309</v>
      </c>
      <c r="B124">
        <v>3</v>
      </c>
      <c r="C124">
        <f>+C123</f>
        <v>96</v>
      </c>
      <c r="D124" s="76">
        <f>+D116</f>
        <v>1</v>
      </c>
      <c r="G124" s="10">
        <f t="shared" si="1"/>
        <v>96</v>
      </c>
      <c r="H124" s="77"/>
    </row>
    <row r="125" spans="1:8" ht="15">
      <c r="A125" t="s">
        <v>310</v>
      </c>
      <c r="B125">
        <v>25</v>
      </c>
      <c r="C125">
        <f>+C123</f>
        <v>96</v>
      </c>
      <c r="D125" s="76">
        <f>+D117</f>
        <v>16</v>
      </c>
      <c r="G125" s="10">
        <f t="shared" si="1"/>
        <v>1536</v>
      </c>
      <c r="H125" s="77"/>
    </row>
    <row r="126" spans="5:8" ht="15">
      <c r="E126" s="10"/>
      <c r="F126" s="10"/>
      <c r="G126" s="10">
        <f t="shared" si="1"/>
        <v>0</v>
      </c>
      <c r="H126" s="77"/>
    </row>
    <row r="127" spans="1:8" ht="15">
      <c r="A127" t="s">
        <v>315</v>
      </c>
      <c r="B127" t="s">
        <v>316</v>
      </c>
      <c r="C127" s="30">
        <v>4</v>
      </c>
      <c r="D127" s="76">
        <v>100</v>
      </c>
      <c r="E127" s="10"/>
      <c r="F127" s="10"/>
      <c r="G127" s="10">
        <f t="shared" si="1"/>
        <v>400</v>
      </c>
      <c r="H127" s="77"/>
    </row>
    <row r="128" spans="1:8" ht="15">
      <c r="A128" t="s">
        <v>317</v>
      </c>
      <c r="B128" s="105">
        <v>26</v>
      </c>
      <c r="C128" s="30">
        <v>4</v>
      </c>
      <c r="D128" s="76">
        <f>+D112</f>
        <v>16</v>
      </c>
      <c r="E128" s="10"/>
      <c r="F128" s="10"/>
      <c r="G128" s="10">
        <f t="shared" si="1"/>
        <v>64</v>
      </c>
      <c r="H128" s="77"/>
    </row>
    <row r="129" spans="1:8" ht="15">
      <c r="A129" t="s">
        <v>309</v>
      </c>
      <c r="B129" s="105">
        <v>3</v>
      </c>
      <c r="C129" s="30">
        <v>4</v>
      </c>
      <c r="D129" s="76">
        <f>+D113</f>
        <v>1</v>
      </c>
      <c r="E129" s="10"/>
      <c r="F129" s="10"/>
      <c r="G129" s="10">
        <f t="shared" si="1"/>
        <v>4</v>
      </c>
      <c r="H129" s="77"/>
    </row>
    <row r="130" spans="1:8" ht="15">
      <c r="A130" t="s">
        <v>318</v>
      </c>
      <c r="B130" t="s">
        <v>319</v>
      </c>
      <c r="C130">
        <v>1</v>
      </c>
      <c r="D130" s="76">
        <v>350</v>
      </c>
      <c r="E130" s="10"/>
      <c r="F130" s="10"/>
      <c r="G130" s="10">
        <f t="shared" si="1"/>
        <v>350</v>
      </c>
      <c r="H130" s="77"/>
    </row>
    <row r="131" spans="1:8" ht="15">
      <c r="A131" t="s">
        <v>320</v>
      </c>
      <c r="B131" s="105">
        <v>26</v>
      </c>
      <c r="C131" s="30">
        <v>1</v>
      </c>
      <c r="D131" s="116">
        <v>45</v>
      </c>
      <c r="E131" s="10"/>
      <c r="F131" s="10"/>
      <c r="G131" s="10">
        <f t="shared" si="1"/>
        <v>45</v>
      </c>
      <c r="H131" s="77"/>
    </row>
    <row r="132" spans="1:8" ht="15">
      <c r="A132" t="s">
        <v>321</v>
      </c>
      <c r="B132" s="105">
        <v>3</v>
      </c>
      <c r="C132" s="30">
        <v>1</v>
      </c>
      <c r="D132" s="76">
        <f>+D113</f>
        <v>1</v>
      </c>
      <c r="E132" s="10">
        <f>SUM(G127:G132)/J27</f>
        <v>18</v>
      </c>
      <c r="F132" s="10"/>
      <c r="G132" s="10">
        <f t="shared" si="1"/>
        <v>1</v>
      </c>
      <c r="H132" s="77"/>
    </row>
    <row r="133" spans="2:8" ht="15">
      <c r="B133" s="105"/>
      <c r="D133" s="76"/>
      <c r="E133" s="10"/>
      <c r="F133" s="10"/>
      <c r="G133" s="10"/>
      <c r="H133" s="77"/>
    </row>
    <row r="134" spans="1:8" ht="15.75" thickBot="1">
      <c r="A134" s="106" t="s">
        <v>322</v>
      </c>
      <c r="B134" s="107"/>
      <c r="C134" s="106"/>
      <c r="D134" s="108"/>
      <c r="E134" s="109"/>
      <c r="F134" s="109"/>
      <c r="G134" s="109">
        <f>SUM(G111:G132)</f>
        <v>17602</v>
      </c>
      <c r="H134" s="77">
        <f>+G134/48</f>
        <v>366.7083333333333</v>
      </c>
    </row>
    <row r="135" spans="2:8" ht="15">
      <c r="B135" s="105"/>
      <c r="D135" s="76"/>
      <c r="E135" s="10"/>
      <c r="F135" s="10"/>
      <c r="H135" s="77"/>
    </row>
    <row r="136" spans="1:8" ht="15">
      <c r="A136" s="2" t="s">
        <v>323</v>
      </c>
      <c r="B136" s="105"/>
      <c r="D136" s="76"/>
      <c r="E136" s="10"/>
      <c r="F136" s="10"/>
      <c r="H136" s="77"/>
    </row>
    <row r="137" spans="1:8" ht="15">
      <c r="A137" s="2" t="s">
        <v>307</v>
      </c>
      <c r="B137" s="105"/>
      <c r="D137" s="76"/>
      <c r="E137" s="10"/>
      <c r="F137" s="10"/>
      <c r="H137" s="77"/>
    </row>
    <row r="138" spans="1:10" ht="15">
      <c r="A138" t="s">
        <v>324</v>
      </c>
      <c r="B138" s="118">
        <f>+'[1]electrical.plumbing'!G4</f>
        <v>350</v>
      </c>
      <c r="C138">
        <f>+J23</f>
        <v>2</v>
      </c>
      <c r="D138" s="116">
        <v>0.174</v>
      </c>
      <c r="G138" s="10">
        <f>B138*C138*D138</f>
        <v>121.8</v>
      </c>
      <c r="H138" s="10" t="s">
        <v>325</v>
      </c>
      <c r="I138" s="10"/>
      <c r="J138">
        <f>87/500</f>
        <v>0.174</v>
      </c>
    </row>
    <row r="139" spans="1:10" ht="15">
      <c r="A139" t="s">
        <v>326</v>
      </c>
      <c r="B139" s="118">
        <f>+'[1]electrical.plumbing'!G6</f>
        <v>275</v>
      </c>
      <c r="C139">
        <f>+C138</f>
        <v>2</v>
      </c>
      <c r="D139" s="116">
        <v>0.13</v>
      </c>
      <c r="G139" s="10">
        <f>B139*C139*D139</f>
        <v>71.5</v>
      </c>
      <c r="H139" s="10" t="s">
        <v>327</v>
      </c>
      <c r="I139" s="10"/>
      <c r="J139">
        <f>65/500</f>
        <v>0.13</v>
      </c>
    </row>
    <row r="140" spans="1:8" ht="15">
      <c r="A140" t="s">
        <v>328</v>
      </c>
      <c r="B140" s="105">
        <v>18</v>
      </c>
      <c r="C140">
        <f>+C138</f>
        <v>2</v>
      </c>
      <c r="D140" s="116">
        <v>0.5</v>
      </c>
      <c r="E140" s="10"/>
      <c r="F140" s="10"/>
      <c r="G140" s="10">
        <f aca="true" t="shared" si="2" ref="G140:G155">B140*C140*D140</f>
        <v>18</v>
      </c>
      <c r="H140" s="77"/>
    </row>
    <row r="141" spans="1:8" ht="15">
      <c r="A141" t="s">
        <v>329</v>
      </c>
      <c r="B141" s="105">
        <f>+B140</f>
        <v>18</v>
      </c>
      <c r="C141">
        <f>+C140</f>
        <v>2</v>
      </c>
      <c r="D141" s="116">
        <v>0.15</v>
      </c>
      <c r="E141" s="10"/>
      <c r="F141" s="10"/>
      <c r="G141" s="10">
        <f t="shared" si="2"/>
        <v>5.3999999999999995</v>
      </c>
      <c r="H141" s="77"/>
    </row>
    <row r="142" spans="1:8" ht="15">
      <c r="A142" t="s">
        <v>330</v>
      </c>
      <c r="B142" s="105">
        <v>10</v>
      </c>
      <c r="C142">
        <f aca="true" t="shared" si="3" ref="C142:C150">+C141</f>
        <v>2</v>
      </c>
      <c r="D142" s="116">
        <v>0.55</v>
      </c>
      <c r="E142" s="10"/>
      <c r="F142" s="10"/>
      <c r="G142" s="10">
        <f t="shared" si="2"/>
        <v>11</v>
      </c>
      <c r="H142" s="77"/>
    </row>
    <row r="143" spans="1:8" ht="15">
      <c r="A143" t="s">
        <v>331</v>
      </c>
      <c r="B143" s="105">
        <f>+B142</f>
        <v>10</v>
      </c>
      <c r="C143">
        <f t="shared" si="3"/>
        <v>2</v>
      </c>
      <c r="D143" s="116">
        <v>0.5</v>
      </c>
      <c r="E143" s="10"/>
      <c r="F143" s="10"/>
      <c r="G143" s="10">
        <f t="shared" si="2"/>
        <v>10</v>
      </c>
      <c r="H143" s="77"/>
    </row>
    <row r="144" spans="1:8" ht="15">
      <c r="A144" t="s">
        <v>332</v>
      </c>
      <c r="B144" s="105">
        <f>+B142</f>
        <v>10</v>
      </c>
      <c r="C144">
        <f t="shared" si="3"/>
        <v>2</v>
      </c>
      <c r="D144" s="116">
        <v>0.15</v>
      </c>
      <c r="E144" s="10"/>
      <c r="F144" s="10"/>
      <c r="G144" s="10">
        <f t="shared" si="2"/>
        <v>3</v>
      </c>
      <c r="H144" s="77"/>
    </row>
    <row r="145" spans="1:8" ht="15">
      <c r="A145" t="s">
        <v>333</v>
      </c>
      <c r="B145" s="105">
        <v>2</v>
      </c>
      <c r="C145">
        <f>+C144</f>
        <v>2</v>
      </c>
      <c r="D145" s="116">
        <f>+D142</f>
        <v>0.55</v>
      </c>
      <c r="E145" s="10"/>
      <c r="F145" s="10"/>
      <c r="G145" s="10">
        <f t="shared" si="2"/>
        <v>2.2</v>
      </c>
      <c r="H145" s="77"/>
    </row>
    <row r="146" spans="1:8" ht="15">
      <c r="A146" t="s">
        <v>334</v>
      </c>
      <c r="B146" s="105">
        <f>+B145</f>
        <v>2</v>
      </c>
      <c r="C146">
        <f>+C144</f>
        <v>2</v>
      </c>
      <c r="D146" s="116">
        <f>+D143</f>
        <v>0.5</v>
      </c>
      <c r="E146" s="10"/>
      <c r="F146" s="10"/>
      <c r="G146" s="10">
        <f t="shared" si="2"/>
        <v>2</v>
      </c>
      <c r="H146" s="77"/>
    </row>
    <row r="147" spans="1:8" ht="15">
      <c r="A147" t="s">
        <v>335</v>
      </c>
      <c r="B147" s="105">
        <f>+B145</f>
        <v>2</v>
      </c>
      <c r="C147">
        <f>+C146</f>
        <v>2</v>
      </c>
      <c r="D147" s="116">
        <f>+D144</f>
        <v>0.15</v>
      </c>
      <c r="E147" s="10"/>
      <c r="F147" s="10"/>
      <c r="G147" s="10">
        <f t="shared" si="2"/>
        <v>0.6</v>
      </c>
      <c r="H147" s="77"/>
    </row>
    <row r="148" spans="1:8" ht="15">
      <c r="A148" t="s">
        <v>336</v>
      </c>
      <c r="B148">
        <f>+B140</f>
        <v>18</v>
      </c>
      <c r="C148">
        <f>+C144</f>
        <v>2</v>
      </c>
      <c r="D148" s="116">
        <v>0.6</v>
      </c>
      <c r="E148" s="10"/>
      <c r="F148" s="10"/>
      <c r="G148" s="10">
        <f t="shared" si="2"/>
        <v>21.599999999999998</v>
      </c>
      <c r="H148" s="77"/>
    </row>
    <row r="149" spans="1:8" ht="15">
      <c r="A149" t="s">
        <v>337</v>
      </c>
      <c r="B149" s="105">
        <f>+B144+B145</f>
        <v>12</v>
      </c>
      <c r="C149">
        <f t="shared" si="3"/>
        <v>2</v>
      </c>
      <c r="D149" s="116">
        <v>1</v>
      </c>
      <c r="E149" s="10"/>
      <c r="F149" s="10"/>
      <c r="G149" s="10">
        <f t="shared" si="2"/>
        <v>24</v>
      </c>
      <c r="H149" s="77"/>
    </row>
    <row r="150" spans="1:8" ht="15">
      <c r="A150" t="s">
        <v>338</v>
      </c>
      <c r="B150" s="105">
        <f>+B149</f>
        <v>12</v>
      </c>
      <c r="C150">
        <f t="shared" si="3"/>
        <v>2</v>
      </c>
      <c r="D150" s="116">
        <v>0.8</v>
      </c>
      <c r="E150" s="10"/>
      <c r="F150" s="10"/>
      <c r="G150" s="10">
        <f t="shared" si="2"/>
        <v>19.200000000000003</v>
      </c>
      <c r="H150" s="77"/>
    </row>
    <row r="151" spans="1:8" ht="15">
      <c r="A151" t="s">
        <v>339</v>
      </c>
      <c r="B151" s="105">
        <v>1</v>
      </c>
      <c r="C151">
        <f>+C144</f>
        <v>2</v>
      </c>
      <c r="D151" s="116">
        <v>30</v>
      </c>
      <c r="E151" s="10"/>
      <c r="F151" s="10"/>
      <c r="G151" s="10">
        <f t="shared" si="2"/>
        <v>60</v>
      </c>
      <c r="H151" s="77"/>
    </row>
    <row r="152" spans="1:8" ht="15">
      <c r="A152" t="s">
        <v>340</v>
      </c>
      <c r="B152" s="105">
        <v>4</v>
      </c>
      <c r="C152">
        <f>+C148</f>
        <v>2</v>
      </c>
      <c r="D152" s="116">
        <v>5.25</v>
      </c>
      <c r="E152" s="10"/>
      <c r="F152" s="10"/>
      <c r="G152" s="10">
        <f t="shared" si="2"/>
        <v>42</v>
      </c>
      <c r="H152" s="77"/>
    </row>
    <row r="153" spans="1:8" ht="15">
      <c r="A153" t="s">
        <v>341</v>
      </c>
      <c r="B153" s="105">
        <v>1</v>
      </c>
      <c r="C153">
        <f>+C149</f>
        <v>2</v>
      </c>
      <c r="D153" s="116">
        <v>52</v>
      </c>
      <c r="E153" s="10"/>
      <c r="F153" s="10"/>
      <c r="G153" s="10">
        <f t="shared" si="2"/>
        <v>104</v>
      </c>
      <c r="H153" s="77"/>
    </row>
    <row r="154" spans="1:8" ht="15">
      <c r="A154" t="s">
        <v>342</v>
      </c>
      <c r="B154" s="105">
        <v>1</v>
      </c>
      <c r="C154">
        <f>+C150</f>
        <v>2</v>
      </c>
      <c r="D154" s="116">
        <v>2.1</v>
      </c>
      <c r="E154" s="10"/>
      <c r="F154" s="10"/>
      <c r="G154" s="10">
        <f t="shared" si="2"/>
        <v>4.2</v>
      </c>
      <c r="H154" s="77"/>
    </row>
    <row r="155" spans="1:8" ht="15">
      <c r="A155" t="s">
        <v>343</v>
      </c>
      <c r="B155" s="105">
        <v>2</v>
      </c>
      <c r="C155">
        <f>+C151</f>
        <v>2</v>
      </c>
      <c r="D155" s="119">
        <v>12.5</v>
      </c>
      <c r="E155" s="10">
        <f>SUM(G138:G155)/C138</f>
        <v>285.25</v>
      </c>
      <c r="F155" s="10"/>
      <c r="G155" s="10">
        <f t="shared" si="2"/>
        <v>50</v>
      </c>
      <c r="H155" s="77" t="s">
        <v>344</v>
      </c>
    </row>
    <row r="156" spans="1:8" ht="15">
      <c r="A156" s="2"/>
      <c r="B156" s="105"/>
      <c r="D156" s="76"/>
      <c r="E156" s="10"/>
      <c r="F156" s="10"/>
      <c r="G156" s="10"/>
      <c r="H156" s="77"/>
    </row>
    <row r="157" spans="1:8" ht="15">
      <c r="A157" s="2" t="s">
        <v>311</v>
      </c>
      <c r="B157" s="105"/>
      <c r="D157" s="76"/>
      <c r="E157" s="10"/>
      <c r="F157" s="10"/>
      <c r="G157" s="10"/>
      <c r="H157" s="77"/>
    </row>
    <row r="158" spans="1:8" ht="15">
      <c r="A158" t="s">
        <v>324</v>
      </c>
      <c r="B158" s="118">
        <f>+'[1]electrical.plumbing'!G7</f>
        <v>400</v>
      </c>
      <c r="C158">
        <f>+J24</f>
        <v>22</v>
      </c>
      <c r="D158" s="76">
        <f aca="true" t="shared" si="4" ref="D158:D164">+D138</f>
        <v>0.174</v>
      </c>
      <c r="E158" s="10"/>
      <c r="F158" s="10"/>
      <c r="G158" s="10">
        <f aca="true" t="shared" si="5" ref="G158:G175">B158*C158*D158</f>
        <v>1531.1999999999998</v>
      </c>
      <c r="H158" s="77"/>
    </row>
    <row r="159" spans="1:8" ht="15">
      <c r="A159" t="s">
        <v>326</v>
      </c>
      <c r="B159" s="118">
        <f>+'[1]electrical.plumbing'!G9</f>
        <v>350</v>
      </c>
      <c r="C159">
        <f>+C158</f>
        <v>22</v>
      </c>
      <c r="D159" s="76">
        <f t="shared" si="4"/>
        <v>0.13</v>
      </c>
      <c r="E159" s="10"/>
      <c r="F159" s="10"/>
      <c r="G159" s="10">
        <f t="shared" si="5"/>
        <v>1001</v>
      </c>
      <c r="H159" s="77"/>
    </row>
    <row r="160" spans="1:8" ht="15">
      <c r="A160" t="s">
        <v>328</v>
      </c>
      <c r="B160" s="105">
        <v>22</v>
      </c>
      <c r="C160">
        <f>+C158</f>
        <v>22</v>
      </c>
      <c r="D160" s="76">
        <f t="shared" si="4"/>
        <v>0.5</v>
      </c>
      <c r="E160" s="10"/>
      <c r="F160" s="10"/>
      <c r="G160" s="10">
        <f t="shared" si="5"/>
        <v>242</v>
      </c>
      <c r="H160" s="77"/>
    </row>
    <row r="161" spans="1:8" ht="15">
      <c r="A161" t="s">
        <v>329</v>
      </c>
      <c r="B161" s="105">
        <f>+B160</f>
        <v>22</v>
      </c>
      <c r="C161">
        <f aca="true" t="shared" si="6" ref="C161:C170">+C160</f>
        <v>22</v>
      </c>
      <c r="D161" s="76">
        <f t="shared" si="4"/>
        <v>0.15</v>
      </c>
      <c r="E161" s="10"/>
      <c r="F161" s="10"/>
      <c r="G161" s="10">
        <f t="shared" si="5"/>
        <v>72.6</v>
      </c>
      <c r="H161" s="77"/>
    </row>
    <row r="162" spans="1:8" ht="15">
      <c r="A162" t="str">
        <f>+A142</f>
        <v>Ceramic Lights-2 per room</v>
      </c>
      <c r="B162" s="105">
        <v>12</v>
      </c>
      <c r="C162">
        <f t="shared" si="6"/>
        <v>22</v>
      </c>
      <c r="D162" s="76">
        <f t="shared" si="4"/>
        <v>0.55</v>
      </c>
      <c r="E162" s="10"/>
      <c r="F162" s="10"/>
      <c r="G162" s="10">
        <f t="shared" si="5"/>
        <v>145.20000000000002</v>
      </c>
      <c r="H162" s="77"/>
    </row>
    <row r="163" spans="1:8" ht="15">
      <c r="A163" t="s">
        <v>331</v>
      </c>
      <c r="B163" s="105">
        <f>+B162</f>
        <v>12</v>
      </c>
      <c r="C163">
        <f t="shared" si="6"/>
        <v>22</v>
      </c>
      <c r="D163" s="76">
        <f t="shared" si="4"/>
        <v>0.5</v>
      </c>
      <c r="E163" s="10"/>
      <c r="F163" s="10"/>
      <c r="G163" s="10">
        <f t="shared" si="5"/>
        <v>132</v>
      </c>
      <c r="H163" s="77"/>
    </row>
    <row r="164" spans="1:8" ht="15">
      <c r="A164" t="s">
        <v>332</v>
      </c>
      <c r="B164" s="105">
        <f>+B162</f>
        <v>12</v>
      </c>
      <c r="C164">
        <f t="shared" si="6"/>
        <v>22</v>
      </c>
      <c r="D164" s="76">
        <f t="shared" si="4"/>
        <v>0.15</v>
      </c>
      <c r="E164" s="10"/>
      <c r="F164" s="10"/>
      <c r="G164" s="10">
        <f t="shared" si="5"/>
        <v>39.6</v>
      </c>
      <c r="H164" s="77"/>
    </row>
    <row r="165" spans="1:8" ht="15">
      <c r="A165" t="s">
        <v>333</v>
      </c>
      <c r="B165" s="105">
        <v>2</v>
      </c>
      <c r="C165">
        <f>+C164</f>
        <v>22</v>
      </c>
      <c r="D165" s="76">
        <f>+D162</f>
        <v>0.55</v>
      </c>
      <c r="E165" s="10"/>
      <c r="F165" s="10"/>
      <c r="G165" s="10">
        <f t="shared" si="5"/>
        <v>24.200000000000003</v>
      </c>
      <c r="H165" s="77"/>
    </row>
    <row r="166" spans="1:8" ht="15">
      <c r="A166" t="s">
        <v>334</v>
      </c>
      <c r="B166" s="105">
        <f>+B165</f>
        <v>2</v>
      </c>
      <c r="C166">
        <f>+C164</f>
        <v>22</v>
      </c>
      <c r="D166" s="76">
        <f aca="true" t="shared" si="7" ref="D166:D175">+D146</f>
        <v>0.5</v>
      </c>
      <c r="E166" s="10"/>
      <c r="F166" s="10"/>
      <c r="G166" s="10">
        <f t="shared" si="5"/>
        <v>22</v>
      </c>
      <c r="H166" s="77"/>
    </row>
    <row r="167" spans="1:8" ht="15">
      <c r="A167" t="s">
        <v>335</v>
      </c>
      <c r="B167" s="105">
        <f>+B165</f>
        <v>2</v>
      </c>
      <c r="C167">
        <f>+C166</f>
        <v>22</v>
      </c>
      <c r="D167" s="76">
        <f t="shared" si="7"/>
        <v>0.15</v>
      </c>
      <c r="E167" s="10"/>
      <c r="F167" s="10"/>
      <c r="G167" s="10">
        <f t="shared" si="5"/>
        <v>6.6</v>
      </c>
      <c r="H167" s="77"/>
    </row>
    <row r="168" spans="1:8" ht="15">
      <c r="A168" t="s">
        <v>336</v>
      </c>
      <c r="B168" s="105">
        <f>+B160</f>
        <v>22</v>
      </c>
      <c r="C168">
        <f>+C164</f>
        <v>22</v>
      </c>
      <c r="D168" s="76">
        <f t="shared" si="7"/>
        <v>0.6</v>
      </c>
      <c r="E168" s="10"/>
      <c r="F168" s="10"/>
      <c r="G168" s="10">
        <f t="shared" si="5"/>
        <v>290.4</v>
      </c>
      <c r="H168" s="77"/>
    </row>
    <row r="169" spans="1:8" ht="15">
      <c r="A169" t="s">
        <v>337</v>
      </c>
      <c r="B169" s="105">
        <f>+B162+B165</f>
        <v>14</v>
      </c>
      <c r="C169">
        <f t="shared" si="6"/>
        <v>22</v>
      </c>
      <c r="D169" s="76">
        <f t="shared" si="7"/>
        <v>1</v>
      </c>
      <c r="E169" s="10"/>
      <c r="F169" s="10"/>
      <c r="G169" s="10">
        <f t="shared" si="5"/>
        <v>308</v>
      </c>
      <c r="H169" s="77"/>
    </row>
    <row r="170" spans="1:8" ht="15">
      <c r="A170" t="s">
        <v>338</v>
      </c>
      <c r="B170" s="105">
        <f>+B169</f>
        <v>14</v>
      </c>
      <c r="C170">
        <f t="shared" si="6"/>
        <v>22</v>
      </c>
      <c r="D170" s="76">
        <f t="shared" si="7"/>
        <v>0.8</v>
      </c>
      <c r="E170" s="10"/>
      <c r="F170" s="10"/>
      <c r="G170" s="10">
        <f t="shared" si="5"/>
        <v>246.4</v>
      </c>
      <c r="H170" s="77"/>
    </row>
    <row r="171" spans="1:8" ht="15">
      <c r="A171" t="s">
        <v>339</v>
      </c>
      <c r="B171" s="105">
        <v>1</v>
      </c>
      <c r="C171">
        <f>+C164</f>
        <v>22</v>
      </c>
      <c r="D171" s="76">
        <f t="shared" si="7"/>
        <v>30</v>
      </c>
      <c r="E171" s="10"/>
      <c r="F171" s="10"/>
      <c r="G171" s="10">
        <f t="shared" si="5"/>
        <v>660</v>
      </c>
      <c r="H171" s="77"/>
    </row>
    <row r="172" spans="1:8" ht="15">
      <c r="A172" t="s">
        <v>340</v>
      </c>
      <c r="B172" s="105">
        <v>4</v>
      </c>
      <c r="C172">
        <f>+C168</f>
        <v>22</v>
      </c>
      <c r="D172" s="76">
        <f t="shared" si="7"/>
        <v>5.25</v>
      </c>
      <c r="E172" s="10"/>
      <c r="F172" s="10"/>
      <c r="G172" s="10">
        <f t="shared" si="5"/>
        <v>462</v>
      </c>
      <c r="H172" s="77"/>
    </row>
    <row r="173" spans="1:8" ht="15">
      <c r="A173" t="s">
        <v>341</v>
      </c>
      <c r="B173" s="105">
        <v>1</v>
      </c>
      <c r="C173">
        <f>+C169</f>
        <v>22</v>
      </c>
      <c r="D173" s="76">
        <f t="shared" si="7"/>
        <v>52</v>
      </c>
      <c r="E173" s="10"/>
      <c r="F173" s="10"/>
      <c r="G173" s="10">
        <f t="shared" si="5"/>
        <v>1144</v>
      </c>
      <c r="H173" s="77"/>
    </row>
    <row r="174" spans="1:8" ht="15">
      <c r="A174" t="s">
        <v>342</v>
      </c>
      <c r="B174" s="105">
        <v>1</v>
      </c>
      <c r="C174">
        <f>+C170</f>
        <v>22</v>
      </c>
      <c r="D174" s="76">
        <f t="shared" si="7"/>
        <v>2.1</v>
      </c>
      <c r="E174" s="10"/>
      <c r="F174" s="10"/>
      <c r="G174" s="10">
        <f t="shared" si="5"/>
        <v>46.2</v>
      </c>
      <c r="H174" s="77"/>
    </row>
    <row r="175" spans="1:8" ht="15">
      <c r="A175" t="s">
        <v>343</v>
      </c>
      <c r="B175" s="105">
        <v>3</v>
      </c>
      <c r="C175">
        <f>+C171</f>
        <v>22</v>
      </c>
      <c r="D175" s="76">
        <f t="shared" si="7"/>
        <v>12.5</v>
      </c>
      <c r="E175" s="10">
        <f>SUM(G158:G175)/C158</f>
        <v>327.19999999999993</v>
      </c>
      <c r="F175" s="10"/>
      <c r="G175" s="10">
        <f t="shared" si="5"/>
        <v>825</v>
      </c>
      <c r="H175" s="77"/>
    </row>
    <row r="176" spans="2:8" ht="15">
      <c r="B176" s="105"/>
      <c r="D176" s="76"/>
      <c r="E176" s="10"/>
      <c r="F176" s="10"/>
      <c r="G176" s="10"/>
      <c r="H176" s="77"/>
    </row>
    <row r="177" spans="1:8" ht="15">
      <c r="A177" s="2" t="s">
        <v>313</v>
      </c>
      <c r="B177" s="105"/>
      <c r="D177" s="76"/>
      <c r="E177" s="10"/>
      <c r="F177" s="10"/>
      <c r="G177" s="10"/>
      <c r="H177" s="77"/>
    </row>
    <row r="178" spans="1:8" ht="15">
      <c r="A178" t="s">
        <v>324</v>
      </c>
      <c r="B178" s="118">
        <f>+'[1]electrical.plumbing'!G10</f>
        <v>400</v>
      </c>
      <c r="C178">
        <f>+J25</f>
        <v>24</v>
      </c>
      <c r="D178" s="76">
        <f aca="true" t="shared" si="8" ref="D178:D195">+D158</f>
        <v>0.174</v>
      </c>
      <c r="E178" s="10"/>
      <c r="F178" s="10"/>
      <c r="G178" s="10">
        <f aca="true" t="shared" si="9" ref="G178:G195">B178*C178*D178</f>
        <v>1670.3999999999999</v>
      </c>
      <c r="H178" s="77"/>
    </row>
    <row r="179" spans="1:8" ht="15">
      <c r="A179" t="s">
        <v>326</v>
      </c>
      <c r="B179" s="118">
        <f>+'[1]electrical.plumbing'!G12</f>
        <v>400</v>
      </c>
      <c r="C179">
        <f>+C178</f>
        <v>24</v>
      </c>
      <c r="D179" s="76">
        <f t="shared" si="8"/>
        <v>0.13</v>
      </c>
      <c r="E179" s="10"/>
      <c r="F179" s="10"/>
      <c r="G179" s="10">
        <f t="shared" si="9"/>
        <v>1248</v>
      </c>
      <c r="H179" s="77"/>
    </row>
    <row r="180" spans="1:8" ht="15">
      <c r="A180" t="s">
        <v>328</v>
      </c>
      <c r="B180" s="105">
        <v>26</v>
      </c>
      <c r="C180">
        <f>+C178</f>
        <v>24</v>
      </c>
      <c r="D180" s="76">
        <f t="shared" si="8"/>
        <v>0.5</v>
      </c>
      <c r="E180" s="10"/>
      <c r="F180" s="10"/>
      <c r="G180" s="10">
        <f t="shared" si="9"/>
        <v>312</v>
      </c>
      <c r="H180" s="77"/>
    </row>
    <row r="181" spans="1:8" ht="15">
      <c r="A181" t="s">
        <v>329</v>
      </c>
      <c r="B181" s="105">
        <f>+B180</f>
        <v>26</v>
      </c>
      <c r="C181">
        <f aca="true" t="shared" si="10" ref="C181:C190">+C180</f>
        <v>24</v>
      </c>
      <c r="D181" s="76">
        <f t="shared" si="8"/>
        <v>0.15</v>
      </c>
      <c r="E181" s="10"/>
      <c r="F181" s="10"/>
      <c r="G181" s="10">
        <f t="shared" si="9"/>
        <v>93.6</v>
      </c>
      <c r="H181" s="77"/>
    </row>
    <row r="182" spans="1:8" ht="15">
      <c r="A182" t="str">
        <f>+A142</f>
        <v>Ceramic Lights-2 per room</v>
      </c>
      <c r="B182" s="105">
        <v>14</v>
      </c>
      <c r="C182">
        <f t="shared" si="10"/>
        <v>24</v>
      </c>
      <c r="D182" s="76">
        <f t="shared" si="8"/>
        <v>0.55</v>
      </c>
      <c r="E182" s="10"/>
      <c r="F182" s="10"/>
      <c r="G182" s="10">
        <f t="shared" si="9"/>
        <v>184.8</v>
      </c>
      <c r="H182" s="77"/>
    </row>
    <row r="183" spans="1:8" ht="15">
      <c r="A183" t="s">
        <v>345</v>
      </c>
      <c r="B183" s="105">
        <f>+B182</f>
        <v>14</v>
      </c>
      <c r="C183">
        <f t="shared" si="10"/>
        <v>24</v>
      </c>
      <c r="D183" s="76">
        <f t="shared" si="8"/>
        <v>0.5</v>
      </c>
      <c r="E183" s="10"/>
      <c r="F183" s="10"/>
      <c r="G183" s="10">
        <f t="shared" si="9"/>
        <v>168</v>
      </c>
      <c r="H183" s="77"/>
    </row>
    <row r="184" spans="1:8" ht="15">
      <c r="A184" t="s">
        <v>346</v>
      </c>
      <c r="B184" s="105">
        <f>+B183</f>
        <v>14</v>
      </c>
      <c r="C184">
        <f t="shared" si="10"/>
        <v>24</v>
      </c>
      <c r="D184" s="76">
        <f t="shared" si="8"/>
        <v>0.15</v>
      </c>
      <c r="E184" s="10"/>
      <c r="F184" s="10"/>
      <c r="G184" s="10">
        <f t="shared" si="9"/>
        <v>50.4</v>
      </c>
      <c r="H184" s="77"/>
    </row>
    <row r="185" spans="1:8" ht="15">
      <c r="A185" t="s">
        <v>347</v>
      </c>
      <c r="B185" s="105">
        <v>3</v>
      </c>
      <c r="C185">
        <f t="shared" si="10"/>
        <v>24</v>
      </c>
      <c r="D185" s="76">
        <f t="shared" si="8"/>
        <v>0.55</v>
      </c>
      <c r="E185" s="10"/>
      <c r="F185" s="10"/>
      <c r="G185" s="10">
        <f t="shared" si="9"/>
        <v>39.6</v>
      </c>
      <c r="H185" s="77"/>
    </row>
    <row r="186" spans="1:8" ht="15">
      <c r="A186" t="s">
        <v>348</v>
      </c>
      <c r="B186" s="105">
        <f>+B185</f>
        <v>3</v>
      </c>
      <c r="C186">
        <f t="shared" si="10"/>
        <v>24</v>
      </c>
      <c r="D186" s="76">
        <f t="shared" si="8"/>
        <v>0.5</v>
      </c>
      <c r="E186" s="10"/>
      <c r="F186" s="10"/>
      <c r="G186" s="10">
        <f t="shared" si="9"/>
        <v>36</v>
      </c>
      <c r="H186" s="77"/>
    </row>
    <row r="187" spans="1:8" ht="15">
      <c r="A187" t="s">
        <v>349</v>
      </c>
      <c r="B187" s="105">
        <f>+B185</f>
        <v>3</v>
      </c>
      <c r="C187">
        <f t="shared" si="10"/>
        <v>24</v>
      </c>
      <c r="D187" s="76">
        <f t="shared" si="8"/>
        <v>0.15</v>
      </c>
      <c r="E187" s="10"/>
      <c r="F187" s="10"/>
      <c r="G187" s="10">
        <f t="shared" si="9"/>
        <v>10.799999999999999</v>
      </c>
      <c r="H187" s="77"/>
    </row>
    <row r="188" spans="1:8" ht="15">
      <c r="A188" t="s">
        <v>336</v>
      </c>
      <c r="B188" s="105">
        <f>+B180</f>
        <v>26</v>
      </c>
      <c r="C188">
        <f>+C184</f>
        <v>24</v>
      </c>
      <c r="D188" s="76">
        <f t="shared" si="8"/>
        <v>0.6</v>
      </c>
      <c r="E188" s="10"/>
      <c r="F188" s="10"/>
      <c r="G188" s="10">
        <f t="shared" si="9"/>
        <v>374.4</v>
      </c>
      <c r="H188" s="77"/>
    </row>
    <row r="189" spans="1:8" ht="15">
      <c r="A189" t="s">
        <v>337</v>
      </c>
      <c r="B189" s="105">
        <f>+B182+B185</f>
        <v>17</v>
      </c>
      <c r="C189">
        <f t="shared" si="10"/>
        <v>24</v>
      </c>
      <c r="D189" s="76">
        <f t="shared" si="8"/>
        <v>1</v>
      </c>
      <c r="E189" s="10"/>
      <c r="F189" s="10"/>
      <c r="G189" s="10">
        <f t="shared" si="9"/>
        <v>408</v>
      </c>
      <c r="H189" s="77"/>
    </row>
    <row r="190" spans="1:8" ht="15">
      <c r="A190" t="s">
        <v>338</v>
      </c>
      <c r="B190" s="105">
        <f>+B189</f>
        <v>17</v>
      </c>
      <c r="C190">
        <f t="shared" si="10"/>
        <v>24</v>
      </c>
      <c r="D190" s="76">
        <f t="shared" si="8"/>
        <v>0.8</v>
      </c>
      <c r="E190" s="10"/>
      <c r="F190" s="10"/>
      <c r="G190" s="10">
        <f t="shared" si="9"/>
        <v>326.40000000000003</v>
      </c>
      <c r="H190" s="77"/>
    </row>
    <row r="191" spans="1:8" ht="15">
      <c r="A191" t="s">
        <v>339</v>
      </c>
      <c r="B191" s="105">
        <v>1</v>
      </c>
      <c r="C191">
        <f>+C184</f>
        <v>24</v>
      </c>
      <c r="D191" s="76">
        <f t="shared" si="8"/>
        <v>30</v>
      </c>
      <c r="E191" s="10"/>
      <c r="F191" s="10"/>
      <c r="G191" s="10">
        <f t="shared" si="9"/>
        <v>720</v>
      </c>
      <c r="H191" s="77"/>
    </row>
    <row r="192" spans="1:8" ht="15">
      <c r="A192" t="s">
        <v>340</v>
      </c>
      <c r="B192" s="105">
        <v>4</v>
      </c>
      <c r="C192">
        <f>+C188</f>
        <v>24</v>
      </c>
      <c r="D192" s="76">
        <f t="shared" si="8"/>
        <v>5.25</v>
      </c>
      <c r="E192" s="10"/>
      <c r="F192" s="10"/>
      <c r="G192" s="10">
        <f t="shared" si="9"/>
        <v>504</v>
      </c>
      <c r="H192" s="77"/>
    </row>
    <row r="193" spans="1:8" ht="15">
      <c r="A193" t="s">
        <v>341</v>
      </c>
      <c r="B193" s="105">
        <v>1</v>
      </c>
      <c r="C193">
        <f>+C189</f>
        <v>24</v>
      </c>
      <c r="D193" s="76">
        <f t="shared" si="8"/>
        <v>52</v>
      </c>
      <c r="E193" s="10"/>
      <c r="F193" s="10"/>
      <c r="G193" s="10">
        <f t="shared" si="9"/>
        <v>1248</v>
      </c>
      <c r="H193" s="77"/>
    </row>
    <row r="194" spans="1:8" ht="15">
      <c r="A194" t="s">
        <v>342</v>
      </c>
      <c r="B194" s="105">
        <v>1</v>
      </c>
      <c r="C194">
        <f>+C190</f>
        <v>24</v>
      </c>
      <c r="D194" s="76">
        <f t="shared" si="8"/>
        <v>2.1</v>
      </c>
      <c r="E194" s="10"/>
      <c r="F194" s="10"/>
      <c r="G194" s="10">
        <f t="shared" si="9"/>
        <v>50.400000000000006</v>
      </c>
      <c r="H194" s="77"/>
    </row>
    <row r="195" spans="1:8" ht="15">
      <c r="A195" t="s">
        <v>343</v>
      </c>
      <c r="B195" s="105">
        <v>4</v>
      </c>
      <c r="C195">
        <f>+C191</f>
        <v>24</v>
      </c>
      <c r="D195" s="76">
        <f t="shared" si="8"/>
        <v>12.5</v>
      </c>
      <c r="E195" s="10">
        <f>SUM(G178:G195)/C178</f>
        <v>360.2</v>
      </c>
      <c r="F195" s="10"/>
      <c r="G195" s="10">
        <f t="shared" si="9"/>
        <v>1200</v>
      </c>
      <c r="H195" s="77"/>
    </row>
    <row r="196" spans="2:8" ht="15">
      <c r="B196" s="105"/>
      <c r="D196" s="76"/>
      <c r="E196" s="10"/>
      <c r="F196" s="10"/>
      <c r="H196" s="77"/>
    </row>
    <row r="197" spans="1:8" ht="15">
      <c r="A197" t="s">
        <v>350</v>
      </c>
      <c r="B197" s="118">
        <f>+'[1]electrical.plumbing'!F14</f>
        <v>750</v>
      </c>
      <c r="C197">
        <v>1</v>
      </c>
      <c r="D197" s="76">
        <f>+D138</f>
        <v>0.174</v>
      </c>
      <c r="E197" s="10"/>
      <c r="F197" s="10"/>
      <c r="G197" s="10">
        <f>+B197*C197*D197</f>
        <v>130.5</v>
      </c>
      <c r="H197" s="77"/>
    </row>
    <row r="198" spans="1:8" ht="15">
      <c r="A198" t="s">
        <v>351</v>
      </c>
      <c r="B198" s="118">
        <f>+'[1]electrical.plumbing'!F15</f>
        <v>750</v>
      </c>
      <c r="C198">
        <f>+C197</f>
        <v>1</v>
      </c>
      <c r="D198" s="76">
        <f>+D139</f>
        <v>0.13</v>
      </c>
      <c r="E198" s="10"/>
      <c r="F198" s="10"/>
      <c r="G198" s="10">
        <f>+B198*C198*D198</f>
        <v>97.5</v>
      </c>
      <c r="H198" s="77"/>
    </row>
    <row r="199" spans="1:8" ht="15">
      <c r="A199" t="s">
        <v>352</v>
      </c>
      <c r="B199" s="105">
        <v>9</v>
      </c>
      <c r="C199">
        <v>4</v>
      </c>
      <c r="D199" s="76">
        <f>+D140</f>
        <v>0.5</v>
      </c>
      <c r="E199" s="10"/>
      <c r="F199" s="10"/>
      <c r="G199" s="10">
        <f aca="true" t="shared" si="11" ref="G199:G212">+B199*C199*D199</f>
        <v>18</v>
      </c>
      <c r="H199" s="77"/>
    </row>
    <row r="200" spans="1:8" ht="15">
      <c r="A200" t="s">
        <v>353</v>
      </c>
      <c r="B200" s="105">
        <v>9</v>
      </c>
      <c r="C200">
        <f>+C199</f>
        <v>4</v>
      </c>
      <c r="D200" s="76">
        <f>+D141</f>
        <v>0.15</v>
      </c>
      <c r="E200" s="10"/>
      <c r="F200" s="10"/>
      <c r="G200" s="10">
        <f t="shared" si="11"/>
        <v>5.3999999999999995</v>
      </c>
      <c r="H200" s="77"/>
    </row>
    <row r="201" spans="1:8" ht="15">
      <c r="A201" t="s">
        <v>354</v>
      </c>
      <c r="B201" s="105">
        <v>8</v>
      </c>
      <c r="C201">
        <v>4</v>
      </c>
      <c r="D201" s="76">
        <v>10</v>
      </c>
      <c r="E201" s="10"/>
      <c r="F201" s="10"/>
      <c r="G201" s="10">
        <f t="shared" si="11"/>
        <v>320</v>
      </c>
      <c r="H201" s="77"/>
    </row>
    <row r="202" spans="1:8" ht="15">
      <c r="A202" t="s">
        <v>355</v>
      </c>
      <c r="B202" s="105">
        <f>+B201</f>
        <v>8</v>
      </c>
      <c r="C202">
        <f>+C201</f>
        <v>4</v>
      </c>
      <c r="D202" s="76">
        <f>+D143</f>
        <v>0.5</v>
      </c>
      <c r="E202" s="10"/>
      <c r="F202" s="10"/>
      <c r="G202" s="10">
        <f t="shared" si="11"/>
        <v>16</v>
      </c>
      <c r="H202" s="77"/>
    </row>
    <row r="203" spans="1:8" ht="15">
      <c r="A203" t="s">
        <v>356</v>
      </c>
      <c r="B203" s="105">
        <f>+B201</f>
        <v>8</v>
      </c>
      <c r="C203">
        <f>+C201</f>
        <v>4</v>
      </c>
      <c r="D203" s="76">
        <f>+D144</f>
        <v>0.15</v>
      </c>
      <c r="E203" s="10"/>
      <c r="F203" s="10"/>
      <c r="G203" s="10">
        <f t="shared" si="11"/>
        <v>4.8</v>
      </c>
      <c r="H203" s="77"/>
    </row>
    <row r="204" spans="1:8" ht="15">
      <c r="A204" t="s">
        <v>336</v>
      </c>
      <c r="B204" s="105">
        <f>+B199</f>
        <v>9</v>
      </c>
      <c r="C204">
        <f>+C202</f>
        <v>4</v>
      </c>
      <c r="D204" s="76">
        <f>+D188</f>
        <v>0.6</v>
      </c>
      <c r="E204" s="10"/>
      <c r="F204" s="10"/>
      <c r="G204" s="10">
        <f t="shared" si="11"/>
        <v>21.599999999999998</v>
      </c>
      <c r="H204" s="77"/>
    </row>
    <row r="205" spans="1:8" ht="15">
      <c r="A205" t="s">
        <v>337</v>
      </c>
      <c r="B205" s="105">
        <f>+B201</f>
        <v>8</v>
      </c>
      <c r="C205">
        <f>+C203</f>
        <v>4</v>
      </c>
      <c r="D205" s="76">
        <f>+D189</f>
        <v>1</v>
      </c>
      <c r="E205" s="10"/>
      <c r="F205" s="10"/>
      <c r="G205" s="10">
        <f t="shared" si="11"/>
        <v>32</v>
      </c>
      <c r="H205" s="77"/>
    </row>
    <row r="206" spans="1:8" ht="15">
      <c r="A206" t="s">
        <v>338</v>
      </c>
      <c r="B206" s="105">
        <f>+B202</f>
        <v>8</v>
      </c>
      <c r="C206">
        <f>+C204</f>
        <v>4</v>
      </c>
      <c r="D206" s="76">
        <f>+D190</f>
        <v>0.8</v>
      </c>
      <c r="E206" s="10"/>
      <c r="F206" s="10"/>
      <c r="G206" s="10">
        <f t="shared" si="11"/>
        <v>25.6</v>
      </c>
      <c r="H206" s="77"/>
    </row>
    <row r="207" spans="1:8" ht="15">
      <c r="A207" t="s">
        <v>357</v>
      </c>
      <c r="B207">
        <v>1</v>
      </c>
      <c r="C207">
        <v>1</v>
      </c>
      <c r="D207" s="116">
        <v>40</v>
      </c>
      <c r="E207" s="10"/>
      <c r="F207" s="10"/>
      <c r="G207" s="10">
        <f t="shared" si="11"/>
        <v>40</v>
      </c>
      <c r="H207" s="77"/>
    </row>
    <row r="208" spans="1:8" ht="15">
      <c r="A208" t="s">
        <v>340</v>
      </c>
      <c r="B208">
        <v>6</v>
      </c>
      <c r="C208">
        <v>1</v>
      </c>
      <c r="D208" s="76">
        <f>D192</f>
        <v>5.25</v>
      </c>
      <c r="E208" s="10"/>
      <c r="F208" s="10"/>
      <c r="G208" s="10">
        <f t="shared" si="11"/>
        <v>31.5</v>
      </c>
      <c r="H208" s="77"/>
    </row>
    <row r="209" spans="1:8" ht="15">
      <c r="A209" t="s">
        <v>341</v>
      </c>
      <c r="B209">
        <v>1</v>
      </c>
      <c r="C209">
        <v>1</v>
      </c>
      <c r="D209" s="76">
        <f>D193</f>
        <v>52</v>
      </c>
      <c r="E209" s="10"/>
      <c r="F209" s="10"/>
      <c r="G209" s="10">
        <f t="shared" si="11"/>
        <v>52</v>
      </c>
      <c r="H209" s="77"/>
    </row>
    <row r="210" spans="1:8" ht="15">
      <c r="A210" t="s">
        <v>342</v>
      </c>
      <c r="B210">
        <v>1</v>
      </c>
      <c r="C210">
        <v>1</v>
      </c>
      <c r="D210" s="76">
        <f>D194</f>
        <v>2.1</v>
      </c>
      <c r="E210" s="10"/>
      <c r="F210" s="10"/>
      <c r="G210" s="10">
        <f t="shared" si="11"/>
        <v>2.1</v>
      </c>
      <c r="H210" s="77"/>
    </row>
    <row r="211" spans="1:8" ht="15">
      <c r="A211" t="s">
        <v>358</v>
      </c>
      <c r="B211" s="105">
        <v>5</v>
      </c>
      <c r="C211">
        <f>+C206</f>
        <v>4</v>
      </c>
      <c r="D211" s="76">
        <f>+D155</f>
        <v>12.5</v>
      </c>
      <c r="E211" s="10"/>
      <c r="F211" s="10"/>
      <c r="G211" s="10">
        <f t="shared" si="11"/>
        <v>250</v>
      </c>
      <c r="H211" s="77"/>
    </row>
    <row r="212" spans="1:8" ht="15">
      <c r="A212" t="s">
        <v>359</v>
      </c>
      <c r="B212" s="105">
        <v>4</v>
      </c>
      <c r="C212">
        <f>+C211</f>
        <v>4</v>
      </c>
      <c r="D212" s="76">
        <v>30</v>
      </c>
      <c r="E212" s="10">
        <f>SUM(G197:G212)/J27</f>
        <v>31.8125</v>
      </c>
      <c r="F212" s="10">
        <f>SUM(G197:G212)</f>
        <v>1527</v>
      </c>
      <c r="G212" s="10">
        <f t="shared" si="11"/>
        <v>480</v>
      </c>
      <c r="H212" s="77"/>
    </row>
    <row r="213" spans="1:8" ht="15">
      <c r="A213" s="2"/>
      <c r="B213" s="105"/>
      <c r="D213" s="76"/>
      <c r="E213" s="10"/>
      <c r="F213" s="10"/>
      <c r="G213" s="10"/>
      <c r="H213" s="77"/>
    </row>
    <row r="214" spans="1:9" ht="15.75" thickBot="1">
      <c r="A214" s="106" t="s">
        <v>360</v>
      </c>
      <c r="B214" s="107"/>
      <c r="C214" s="106"/>
      <c r="D214" s="108"/>
      <c r="E214" s="109"/>
      <c r="F214" s="109"/>
      <c r="G214" s="109">
        <f>SUM(G136:G212)</f>
        <v>17940.699999999993</v>
      </c>
      <c r="H214" s="77">
        <f>+G214/48</f>
        <v>373.7645833333332</v>
      </c>
      <c r="I214">
        <v>17600</v>
      </c>
    </row>
    <row r="215" spans="1:8" ht="15">
      <c r="A215" s="93"/>
      <c r="B215" s="94"/>
      <c r="C215" s="93"/>
      <c r="D215" s="96"/>
      <c r="E215" s="95"/>
      <c r="F215" s="95"/>
      <c r="G215" s="95"/>
      <c r="H215" s="77"/>
    </row>
    <row r="216" spans="1:8" ht="15">
      <c r="A216" s="2" t="s">
        <v>489</v>
      </c>
      <c r="B216" s="56"/>
      <c r="C216" t="s">
        <v>80</v>
      </c>
      <c r="D216" s="76" t="s">
        <v>80</v>
      </c>
      <c r="E216" s="10"/>
      <c r="F216" s="10"/>
      <c r="G216" s="10"/>
      <c r="H216" s="77"/>
    </row>
    <row r="217" spans="1:8" ht="15">
      <c r="A217" s="120" t="s">
        <v>361</v>
      </c>
      <c r="B217" s="121">
        <v>1</v>
      </c>
      <c r="C217">
        <f>+C138</f>
        <v>2</v>
      </c>
      <c r="D217" s="76">
        <v>1500</v>
      </c>
      <c r="E217" s="10"/>
      <c r="F217" s="10"/>
      <c r="G217" s="10">
        <f>+B217*C217*D217</f>
        <v>3000</v>
      </c>
      <c r="H217" s="77"/>
    </row>
    <row r="218" spans="1:8" ht="15">
      <c r="A218" t="s">
        <v>362</v>
      </c>
      <c r="B218" s="121">
        <v>1</v>
      </c>
      <c r="C218">
        <f>+C158</f>
        <v>22</v>
      </c>
      <c r="D218" s="76">
        <v>1700</v>
      </c>
      <c r="E218" s="10"/>
      <c r="F218" s="10"/>
      <c r="G218" s="10">
        <f>+B218*C218*D218</f>
        <v>37400</v>
      </c>
      <c r="H218" s="77"/>
    </row>
    <row r="219" spans="1:8" ht="15">
      <c r="A219" t="s">
        <v>363</v>
      </c>
      <c r="B219" s="121">
        <v>1</v>
      </c>
      <c r="C219">
        <f>+C178</f>
        <v>24</v>
      </c>
      <c r="D219" s="76">
        <v>2000</v>
      </c>
      <c r="E219" s="10"/>
      <c r="F219" s="10"/>
      <c r="G219" s="10">
        <f>+B219*C219*D219</f>
        <v>48000</v>
      </c>
      <c r="H219" s="77"/>
    </row>
    <row r="220" spans="1:8" ht="15">
      <c r="A220" t="s">
        <v>364</v>
      </c>
      <c r="B220" s="121">
        <v>1</v>
      </c>
      <c r="C220">
        <v>1</v>
      </c>
      <c r="D220" s="76">
        <f>4375*0.8</f>
        <v>3500</v>
      </c>
      <c r="E220" s="10"/>
      <c r="F220" s="10"/>
      <c r="G220" s="10">
        <f>+B220*C220*D220</f>
        <v>3500</v>
      </c>
      <c r="H220" s="77"/>
    </row>
    <row r="221" spans="1:8" ht="15">
      <c r="A221" t="s">
        <v>365</v>
      </c>
      <c r="D221" s="76"/>
      <c r="E221" s="10"/>
      <c r="F221" s="10"/>
      <c r="G221" s="10">
        <f>+C221*D221</f>
        <v>0</v>
      </c>
      <c r="H221" s="77"/>
    </row>
    <row r="222" spans="1:8" ht="15">
      <c r="A222" t="s">
        <v>366</v>
      </c>
      <c r="D222" s="76"/>
      <c r="E222" s="10"/>
      <c r="F222" s="10"/>
      <c r="G222" s="10">
        <f>+C222*D222</f>
        <v>0</v>
      </c>
      <c r="H222" s="77"/>
    </row>
    <row r="223" spans="1:8" ht="15">
      <c r="A223" t="s">
        <v>367</v>
      </c>
      <c r="B223" s="105"/>
      <c r="D223" s="76"/>
      <c r="E223" s="10"/>
      <c r="F223" s="10"/>
      <c r="G223" s="10">
        <f>+C223*D223</f>
        <v>0</v>
      </c>
      <c r="H223" s="77"/>
    </row>
    <row r="224" spans="1:8" ht="15">
      <c r="A224" t="s">
        <v>368</v>
      </c>
      <c r="B224" s="105"/>
      <c r="D224" s="76"/>
      <c r="E224" s="10"/>
      <c r="F224" s="10"/>
      <c r="G224" s="10">
        <f>+C224*D224</f>
        <v>0</v>
      </c>
      <c r="H224" s="77"/>
    </row>
    <row r="225" spans="1:8" ht="15">
      <c r="A225" t="s">
        <v>369</v>
      </c>
      <c r="B225" s="105"/>
      <c r="D225" s="76"/>
      <c r="E225" s="10"/>
      <c r="F225" s="10"/>
      <c r="G225" s="10">
        <f>+C225*D225</f>
        <v>0</v>
      </c>
      <c r="H225" s="77"/>
    </row>
    <row r="226" spans="2:8" ht="15">
      <c r="B226" s="105"/>
      <c r="D226" s="76"/>
      <c r="E226" s="10"/>
      <c r="F226" s="10"/>
      <c r="G226" s="10"/>
      <c r="H226" s="77"/>
    </row>
    <row r="227" spans="1:10" ht="15.75" thickBot="1">
      <c r="A227" s="106" t="s">
        <v>370</v>
      </c>
      <c r="B227" s="107"/>
      <c r="C227" s="106"/>
      <c r="D227" s="108"/>
      <c r="E227" s="109"/>
      <c r="F227" s="109"/>
      <c r="G227" s="122">
        <f>SUM(G217:G225)</f>
        <v>91900</v>
      </c>
      <c r="H227" s="77">
        <f>+G227/48</f>
        <v>1914.5833333333333</v>
      </c>
      <c r="J227">
        <v>93600</v>
      </c>
    </row>
    <row r="228" spans="1:8" ht="15">
      <c r="A228" s="93"/>
      <c r="B228" s="94"/>
      <c r="C228" s="93"/>
      <c r="D228" s="96"/>
      <c r="E228" s="95"/>
      <c r="F228" s="95"/>
      <c r="H228" s="77"/>
    </row>
    <row r="229" spans="1:8" ht="15">
      <c r="A229" s="2" t="s">
        <v>371</v>
      </c>
      <c r="B229" s="56"/>
      <c r="D229" s="76"/>
      <c r="E229" s="10"/>
      <c r="F229" s="10"/>
      <c r="G229" s="10" t="s">
        <v>80</v>
      </c>
      <c r="H229" s="77"/>
    </row>
    <row r="230" spans="1:8" ht="15">
      <c r="A230" t="s">
        <v>372</v>
      </c>
      <c r="B230" s="105">
        <v>5</v>
      </c>
      <c r="C230">
        <v>48</v>
      </c>
      <c r="D230" s="116">
        <v>4.6</v>
      </c>
      <c r="E230" s="10"/>
      <c r="F230" s="10"/>
      <c r="G230" s="10">
        <f>+B230*C230*D230</f>
        <v>1104</v>
      </c>
      <c r="H230" s="77" t="s">
        <v>373</v>
      </c>
    </row>
    <row r="231" spans="1:8" ht="15">
      <c r="A231" t="s">
        <v>374</v>
      </c>
      <c r="B231" s="105">
        <v>6</v>
      </c>
      <c r="C231">
        <v>48</v>
      </c>
      <c r="D231" s="76">
        <v>1</v>
      </c>
      <c r="E231" s="10"/>
      <c r="F231" s="10"/>
      <c r="G231" s="10">
        <f aca="true" t="shared" si="12" ref="G231:G253">+B231*C231*D231</f>
        <v>288</v>
      </c>
      <c r="H231" s="77"/>
    </row>
    <row r="232" spans="1:8" ht="15">
      <c r="A232" t="s">
        <v>375</v>
      </c>
      <c r="B232" s="105">
        <v>1</v>
      </c>
      <c r="C232">
        <v>48</v>
      </c>
      <c r="D232" s="76">
        <v>10</v>
      </c>
      <c r="E232" s="10"/>
      <c r="F232" s="10"/>
      <c r="G232" s="10">
        <f t="shared" si="12"/>
        <v>480</v>
      </c>
      <c r="H232" s="77"/>
    </row>
    <row r="233" spans="1:8" ht="15">
      <c r="A233" t="s">
        <v>376</v>
      </c>
      <c r="B233" s="105">
        <v>3</v>
      </c>
      <c r="C233">
        <f>+C232</f>
        <v>48</v>
      </c>
      <c r="D233" s="76">
        <v>5</v>
      </c>
      <c r="E233" s="10"/>
      <c r="F233" s="10"/>
      <c r="G233" s="10">
        <f t="shared" si="12"/>
        <v>720</v>
      </c>
      <c r="H233" s="77"/>
    </row>
    <row r="234" spans="1:8" ht="15">
      <c r="A234" t="s">
        <v>377</v>
      </c>
      <c r="B234" s="105">
        <v>4</v>
      </c>
      <c r="C234">
        <f>+C233</f>
        <v>48</v>
      </c>
      <c r="D234" s="76">
        <v>5</v>
      </c>
      <c r="E234" s="10"/>
      <c r="F234" s="10"/>
      <c r="G234" s="10">
        <f t="shared" si="12"/>
        <v>960</v>
      </c>
      <c r="H234" s="77"/>
    </row>
    <row r="235" spans="1:8" ht="15">
      <c r="A235" t="s">
        <v>378</v>
      </c>
      <c r="B235" s="105">
        <v>1</v>
      </c>
      <c r="C235">
        <v>48</v>
      </c>
      <c r="D235" s="116">
        <v>1.6</v>
      </c>
      <c r="E235" s="10"/>
      <c r="F235" s="10"/>
      <c r="G235" s="10">
        <f t="shared" si="12"/>
        <v>76.80000000000001</v>
      </c>
      <c r="H235" s="77"/>
    </row>
    <row r="236" spans="1:8" ht="15">
      <c r="A236" s="78" t="s">
        <v>379</v>
      </c>
      <c r="B236" s="105">
        <v>4</v>
      </c>
      <c r="C236">
        <v>48</v>
      </c>
      <c r="D236" s="116">
        <v>1.25</v>
      </c>
      <c r="E236" s="10"/>
      <c r="F236" s="10"/>
      <c r="G236" s="10">
        <f t="shared" si="12"/>
        <v>240</v>
      </c>
      <c r="H236" s="77"/>
    </row>
    <row r="237" spans="1:8" ht="15">
      <c r="A237" t="s">
        <v>380</v>
      </c>
      <c r="B237" s="105">
        <v>1</v>
      </c>
      <c r="C237">
        <v>48</v>
      </c>
      <c r="D237" s="76">
        <v>50</v>
      </c>
      <c r="E237" s="10"/>
      <c r="F237" s="10"/>
      <c r="G237" s="10">
        <f t="shared" si="12"/>
        <v>2400</v>
      </c>
      <c r="H237" s="77"/>
    </row>
    <row r="238" spans="1:8" ht="15">
      <c r="A238" t="s">
        <v>490</v>
      </c>
      <c r="B238" s="105">
        <v>1</v>
      </c>
      <c r="C238">
        <v>48</v>
      </c>
      <c r="D238" s="76">
        <v>75</v>
      </c>
      <c r="E238" s="10"/>
      <c r="F238" s="10"/>
      <c r="G238" s="10">
        <f t="shared" si="12"/>
        <v>3600</v>
      </c>
      <c r="H238" s="77"/>
    </row>
    <row r="239" spans="1:8" ht="15">
      <c r="A239" t="s">
        <v>381</v>
      </c>
      <c r="B239" s="105">
        <v>1</v>
      </c>
      <c r="C239">
        <v>48</v>
      </c>
      <c r="D239" s="116">
        <v>26</v>
      </c>
      <c r="E239" s="10"/>
      <c r="F239" s="10"/>
      <c r="G239" s="10">
        <f t="shared" si="12"/>
        <v>1248</v>
      </c>
      <c r="H239" s="77"/>
    </row>
    <row r="240" spans="1:8" ht="15">
      <c r="A240" t="s">
        <v>382</v>
      </c>
      <c r="B240" s="105">
        <v>1</v>
      </c>
      <c r="C240">
        <v>48</v>
      </c>
      <c r="D240" s="116">
        <v>45</v>
      </c>
      <c r="E240" s="10"/>
      <c r="F240" s="10"/>
      <c r="G240" s="10">
        <f t="shared" si="12"/>
        <v>2160</v>
      </c>
      <c r="H240" s="77"/>
    </row>
    <row r="241" spans="1:8" ht="15">
      <c r="A241" t="s">
        <v>383</v>
      </c>
      <c r="B241" s="105">
        <v>1</v>
      </c>
      <c r="C241">
        <v>48</v>
      </c>
      <c r="D241" s="76">
        <v>30</v>
      </c>
      <c r="E241" s="10"/>
      <c r="F241" s="10"/>
      <c r="G241" s="10">
        <f t="shared" si="12"/>
        <v>1440</v>
      </c>
      <c r="H241" s="77"/>
    </row>
    <row r="242" spans="1:8" ht="15">
      <c r="A242" t="s">
        <v>384</v>
      </c>
      <c r="B242" s="105">
        <v>1</v>
      </c>
      <c r="C242">
        <v>48</v>
      </c>
      <c r="D242" s="116">
        <v>35</v>
      </c>
      <c r="E242" s="10"/>
      <c r="F242" s="10"/>
      <c r="G242" s="10">
        <f t="shared" si="12"/>
        <v>1680</v>
      </c>
      <c r="H242" s="77"/>
    </row>
    <row r="243" spans="5:8" ht="15">
      <c r="E243" s="10"/>
      <c r="F243" s="10"/>
      <c r="G243" s="10">
        <f t="shared" si="12"/>
        <v>0</v>
      </c>
      <c r="H243" s="77"/>
    </row>
    <row r="244" spans="1:8" ht="15">
      <c r="A244" t="s">
        <v>385</v>
      </c>
      <c r="B244" s="105">
        <f>+B230</f>
        <v>5</v>
      </c>
      <c r="C244">
        <v>4</v>
      </c>
      <c r="D244" s="76">
        <f>+D230</f>
        <v>4.6</v>
      </c>
      <c r="E244" s="10"/>
      <c r="F244" s="10"/>
      <c r="G244" s="10">
        <f t="shared" si="12"/>
        <v>92</v>
      </c>
      <c r="H244" s="77"/>
    </row>
    <row r="245" spans="1:8" ht="15">
      <c r="A245" t="s">
        <v>386</v>
      </c>
      <c r="B245" s="105">
        <f>+B231</f>
        <v>6</v>
      </c>
      <c r="C245">
        <f>+C244</f>
        <v>4</v>
      </c>
      <c r="D245" s="76">
        <f>+D231</f>
        <v>1</v>
      </c>
      <c r="E245" s="10"/>
      <c r="F245" s="10"/>
      <c r="G245" s="10">
        <f t="shared" si="12"/>
        <v>24</v>
      </c>
      <c r="H245" s="77"/>
    </row>
    <row r="246" spans="1:8" ht="15">
      <c r="A246" t="s">
        <v>387</v>
      </c>
      <c r="B246" s="105">
        <f>+B232</f>
        <v>1</v>
      </c>
      <c r="C246">
        <f>+C245</f>
        <v>4</v>
      </c>
      <c r="D246" s="76">
        <f>+D232</f>
        <v>10</v>
      </c>
      <c r="E246" s="10"/>
      <c r="F246" s="10"/>
      <c r="G246" s="10">
        <f t="shared" si="12"/>
        <v>40</v>
      </c>
      <c r="H246" s="77"/>
    </row>
    <row r="247" spans="1:9" ht="15">
      <c r="A247" t="s">
        <v>388</v>
      </c>
      <c r="B247" s="105">
        <v>1</v>
      </c>
      <c r="C247">
        <f>+C246</f>
        <v>4</v>
      </c>
      <c r="D247" s="76">
        <f>+D233</f>
        <v>5</v>
      </c>
      <c r="E247" s="76"/>
      <c r="F247" s="10"/>
      <c r="G247" s="10">
        <f t="shared" si="12"/>
        <v>20</v>
      </c>
      <c r="H247" s="10"/>
      <c r="I247" s="77"/>
    </row>
    <row r="248" spans="1:9" ht="15">
      <c r="A248" t="s">
        <v>389</v>
      </c>
      <c r="B248" s="105">
        <v>2</v>
      </c>
      <c r="C248">
        <v>4</v>
      </c>
      <c r="D248" s="76">
        <f>+D234</f>
        <v>5</v>
      </c>
      <c r="E248" s="76"/>
      <c r="F248" s="10"/>
      <c r="G248" s="10">
        <f t="shared" si="12"/>
        <v>40</v>
      </c>
      <c r="H248" s="10"/>
      <c r="I248" s="77"/>
    </row>
    <row r="249" spans="1:9" ht="15">
      <c r="A249" t="s">
        <v>390</v>
      </c>
      <c r="B249" s="105">
        <v>1</v>
      </c>
      <c r="C249">
        <v>4</v>
      </c>
      <c r="D249" s="76">
        <v>50</v>
      </c>
      <c r="E249" s="76"/>
      <c r="F249" s="10"/>
      <c r="G249" s="10">
        <f t="shared" si="12"/>
        <v>200</v>
      </c>
      <c r="H249" s="10"/>
      <c r="I249" s="77"/>
    </row>
    <row r="250" spans="1:9" ht="15">
      <c r="A250" t="s">
        <v>391</v>
      </c>
      <c r="B250">
        <v>1</v>
      </c>
      <c r="C250">
        <v>4</v>
      </c>
      <c r="D250" s="76">
        <v>25</v>
      </c>
      <c r="E250" s="76"/>
      <c r="F250" s="10"/>
      <c r="G250" s="10">
        <f t="shared" si="12"/>
        <v>100</v>
      </c>
      <c r="H250" s="10"/>
      <c r="I250" s="77"/>
    </row>
    <row r="251" spans="1:8" ht="15">
      <c r="A251" t="s">
        <v>392</v>
      </c>
      <c r="B251">
        <v>1</v>
      </c>
      <c r="C251">
        <v>4</v>
      </c>
      <c r="D251" s="10">
        <f>+D236</f>
        <v>1.25</v>
      </c>
      <c r="E251" s="10"/>
      <c r="F251" s="10"/>
      <c r="G251" s="10">
        <f t="shared" si="12"/>
        <v>5</v>
      </c>
      <c r="H251" s="77"/>
    </row>
    <row r="252" spans="1:8" ht="15">
      <c r="A252" t="s">
        <v>393</v>
      </c>
      <c r="B252">
        <v>20</v>
      </c>
      <c r="C252">
        <v>1</v>
      </c>
      <c r="D252" s="10">
        <f>+D244</f>
        <v>4.6</v>
      </c>
      <c r="E252" s="10"/>
      <c r="F252" s="10"/>
      <c r="G252" s="10">
        <f t="shared" si="12"/>
        <v>92</v>
      </c>
      <c r="H252" s="77"/>
    </row>
    <row r="253" spans="1:8" ht="15">
      <c r="A253" t="s">
        <v>394</v>
      </c>
      <c r="B253">
        <v>3</v>
      </c>
      <c r="C253">
        <v>1</v>
      </c>
      <c r="D253" s="10">
        <f>+D237</f>
        <v>50</v>
      </c>
      <c r="E253" s="10"/>
      <c r="F253" s="10"/>
      <c r="G253" s="10">
        <f t="shared" si="12"/>
        <v>150</v>
      </c>
      <c r="H253" s="77"/>
    </row>
    <row r="254" spans="4:8" ht="15">
      <c r="D254" s="10"/>
      <c r="E254" s="10"/>
      <c r="F254" s="10"/>
      <c r="G254" s="10"/>
      <c r="H254" s="77"/>
    </row>
    <row r="255" spans="1:8" ht="15.75" thickBot="1">
      <c r="A255" s="106" t="s">
        <v>395</v>
      </c>
      <c r="B255" s="107"/>
      <c r="C255" s="106"/>
      <c r="D255" s="108"/>
      <c r="E255" s="109"/>
      <c r="F255" s="109"/>
      <c r="G255" s="109">
        <f>SUM(G230:G254)</f>
        <v>17159.8</v>
      </c>
      <c r="H255" s="77">
        <f>+G255/48</f>
        <v>357.49583333333334</v>
      </c>
    </row>
    <row r="256" spans="1:8" ht="15">
      <c r="A256" s="93"/>
      <c r="B256" s="94"/>
      <c r="C256" s="93"/>
      <c r="D256" s="96"/>
      <c r="E256" s="95"/>
      <c r="F256" s="95"/>
      <c r="H256" s="77"/>
    </row>
    <row r="257" spans="1:8" ht="15">
      <c r="A257" s="2" t="s">
        <v>396</v>
      </c>
      <c r="B257" s="105"/>
      <c r="D257" s="76"/>
      <c r="E257" s="10"/>
      <c r="F257" s="10"/>
      <c r="G257" s="10" t="s">
        <v>80</v>
      </c>
      <c r="H257" s="77"/>
    </row>
    <row r="258" spans="1:8" ht="15">
      <c r="A258" t="s">
        <v>397</v>
      </c>
      <c r="B258" s="105">
        <v>165</v>
      </c>
      <c r="C258">
        <v>48</v>
      </c>
      <c r="D258" s="76">
        <v>165</v>
      </c>
      <c r="E258" s="10"/>
      <c r="F258" s="10"/>
      <c r="G258" s="10">
        <f aca="true" t="shared" si="13" ref="G258:G265">+C258*D258</f>
        <v>7920</v>
      </c>
      <c r="H258" s="77"/>
    </row>
    <row r="259" spans="1:8" ht="15">
      <c r="A259" t="s">
        <v>398</v>
      </c>
      <c r="B259" t="s">
        <v>399</v>
      </c>
      <c r="C259">
        <v>48</v>
      </c>
      <c r="D259" s="76">
        <v>300</v>
      </c>
      <c r="E259" s="10"/>
      <c r="F259" s="10"/>
      <c r="G259" s="10">
        <f t="shared" si="13"/>
        <v>14400</v>
      </c>
      <c r="H259" s="77"/>
    </row>
    <row r="260" spans="1:8" ht="15">
      <c r="A260" t="s">
        <v>400</v>
      </c>
      <c r="B260" s="105"/>
      <c r="C260">
        <v>48</v>
      </c>
      <c r="D260" s="76">
        <v>150</v>
      </c>
      <c r="E260" s="10"/>
      <c r="F260" s="10"/>
      <c r="G260" s="10">
        <f t="shared" si="13"/>
        <v>7200</v>
      </c>
      <c r="H260" s="77"/>
    </row>
    <row r="261" spans="1:8" ht="15">
      <c r="A261" t="s">
        <v>401</v>
      </c>
      <c r="B261" s="105"/>
      <c r="C261">
        <v>48</v>
      </c>
      <c r="D261" s="76">
        <v>75</v>
      </c>
      <c r="E261" s="10"/>
      <c r="F261" s="10"/>
      <c r="G261" s="10">
        <f t="shared" si="13"/>
        <v>3600</v>
      </c>
      <c r="H261" s="77"/>
    </row>
    <row r="262" spans="1:8" ht="15">
      <c r="A262" t="s">
        <v>402</v>
      </c>
      <c r="B262" s="105"/>
      <c r="C262">
        <v>48</v>
      </c>
      <c r="D262" s="76">
        <v>75</v>
      </c>
      <c r="E262" s="10"/>
      <c r="F262" s="10"/>
      <c r="G262" s="10">
        <f t="shared" si="13"/>
        <v>3600</v>
      </c>
      <c r="H262" s="77"/>
    </row>
    <row r="263" spans="1:8" ht="15">
      <c r="A263" t="s">
        <v>403</v>
      </c>
      <c r="B263" s="123" t="s">
        <v>404</v>
      </c>
      <c r="C263">
        <v>48</v>
      </c>
      <c r="D263" s="116">
        <v>26</v>
      </c>
      <c r="E263" s="10"/>
      <c r="F263" s="10"/>
      <c r="G263" s="10">
        <f t="shared" si="13"/>
        <v>1248</v>
      </c>
      <c r="H263" s="77"/>
    </row>
    <row r="264" spans="1:8" ht="15">
      <c r="A264" t="s">
        <v>405</v>
      </c>
      <c r="B264" s="64"/>
      <c r="C264" s="64">
        <v>48</v>
      </c>
      <c r="D264" s="116">
        <v>1.55</v>
      </c>
      <c r="E264" s="10"/>
      <c r="F264" s="10"/>
      <c r="G264" s="10">
        <f t="shared" si="13"/>
        <v>74.4</v>
      </c>
      <c r="H264" s="77"/>
    </row>
    <row r="265" spans="1:8" ht="15">
      <c r="A265" s="123" t="s">
        <v>406</v>
      </c>
      <c r="B265" s="105">
        <v>50</v>
      </c>
      <c r="C265">
        <v>48</v>
      </c>
      <c r="D265" s="76">
        <v>35</v>
      </c>
      <c r="E265" s="10"/>
      <c r="F265" s="10"/>
      <c r="G265" s="10">
        <f t="shared" si="13"/>
        <v>1680</v>
      </c>
      <c r="H265" s="77"/>
    </row>
    <row r="266" spans="2:8" ht="15">
      <c r="B266" s="105"/>
      <c r="D266" s="76"/>
      <c r="E266" s="10"/>
      <c r="F266" s="10"/>
      <c r="H266" s="77"/>
    </row>
    <row r="267" spans="1:8" ht="15.75" thickBot="1">
      <c r="A267" s="106" t="s">
        <v>407</v>
      </c>
      <c r="B267" s="107"/>
      <c r="C267" s="106"/>
      <c r="D267" s="108"/>
      <c r="E267" s="109"/>
      <c r="F267" s="109"/>
      <c r="G267" s="109">
        <f>SUM(G258:G265)</f>
        <v>39722.4</v>
      </c>
      <c r="H267" s="77">
        <f>+G267/48</f>
        <v>827.5500000000001</v>
      </c>
    </row>
    <row r="268" spans="1:8" ht="15">
      <c r="A268" t="s">
        <v>80</v>
      </c>
      <c r="B268" s="105"/>
      <c r="D268" s="76"/>
      <c r="E268" s="10"/>
      <c r="F268" s="10"/>
      <c r="H268" s="77"/>
    </row>
    <row r="269" spans="1:8" ht="15">
      <c r="A269" s="2" t="s">
        <v>408</v>
      </c>
      <c r="B269" s="105"/>
      <c r="D269" s="76"/>
      <c r="E269" s="10"/>
      <c r="F269" s="10"/>
      <c r="H269" s="77"/>
    </row>
    <row r="270" spans="1:8" ht="15">
      <c r="A270" s="120" t="s">
        <v>409</v>
      </c>
      <c r="B270" s="105">
        <f>20*20</f>
        <v>400</v>
      </c>
      <c r="C270">
        <f>+C138</f>
        <v>2</v>
      </c>
      <c r="D270" s="76">
        <v>1</v>
      </c>
      <c r="E270" s="10"/>
      <c r="F270" s="10"/>
      <c r="G270" s="77">
        <f>+B270*C270*D270</f>
        <v>800</v>
      </c>
      <c r="H270" s="77"/>
    </row>
    <row r="271" spans="1:8" ht="15">
      <c r="A271" s="120" t="s">
        <v>410</v>
      </c>
      <c r="B271" s="105">
        <v>1</v>
      </c>
      <c r="C271">
        <f>+C139</f>
        <v>2</v>
      </c>
      <c r="D271" s="76">
        <v>125</v>
      </c>
      <c r="E271" s="10"/>
      <c r="F271" s="10"/>
      <c r="G271" s="77">
        <f aca="true" t="shared" si="14" ref="G271:G282">+B271*C271*D271</f>
        <v>250</v>
      </c>
      <c r="H271" s="77"/>
    </row>
    <row r="272" spans="1:10" ht="15">
      <c r="A272" t="s">
        <v>411</v>
      </c>
      <c r="B272" s="105">
        <v>6</v>
      </c>
      <c r="C272">
        <f>+C140</f>
        <v>2</v>
      </c>
      <c r="D272" s="116">
        <v>6.2</v>
      </c>
      <c r="E272" s="10"/>
      <c r="F272" s="10"/>
      <c r="G272" s="77">
        <f t="shared" si="14"/>
        <v>74.4</v>
      </c>
      <c r="H272" s="77" t="s">
        <v>412</v>
      </c>
      <c r="J272">
        <f>31/5</f>
        <v>6.2</v>
      </c>
    </row>
    <row r="273" spans="1:8" ht="15">
      <c r="A273" t="s">
        <v>413</v>
      </c>
      <c r="B273" s="105">
        <f>20*25</f>
        <v>500</v>
      </c>
      <c r="C273">
        <f>+C158</f>
        <v>22</v>
      </c>
      <c r="D273" s="76">
        <v>1</v>
      </c>
      <c r="E273" s="10"/>
      <c r="F273" s="10"/>
      <c r="G273" s="77">
        <f t="shared" si="14"/>
        <v>11000</v>
      </c>
      <c r="H273" s="77"/>
    </row>
    <row r="274" spans="1:8" ht="15">
      <c r="A274" t="s">
        <v>414</v>
      </c>
      <c r="B274" s="105">
        <f>+B271</f>
        <v>1</v>
      </c>
      <c r="C274">
        <f>+C159</f>
        <v>22</v>
      </c>
      <c r="D274" s="76">
        <v>125</v>
      </c>
      <c r="E274" s="10"/>
      <c r="F274" s="10"/>
      <c r="G274" s="77">
        <f t="shared" si="14"/>
        <v>2750</v>
      </c>
      <c r="H274" s="77"/>
    </row>
    <row r="275" spans="1:8" ht="15">
      <c r="A275" t="s">
        <v>415</v>
      </c>
      <c r="B275" s="105">
        <v>8</v>
      </c>
      <c r="C275">
        <f>+C160</f>
        <v>22</v>
      </c>
      <c r="D275" s="76">
        <f>+D272</f>
        <v>6.2</v>
      </c>
      <c r="E275" s="10"/>
      <c r="F275" s="10"/>
      <c r="G275" s="77">
        <f t="shared" si="14"/>
        <v>1091.2</v>
      </c>
      <c r="H275" s="77"/>
    </row>
    <row r="276" spans="1:8" ht="15">
      <c r="A276" t="s">
        <v>416</v>
      </c>
      <c r="B276" s="105">
        <f>30*20</f>
        <v>600</v>
      </c>
      <c r="C276">
        <f>+C178</f>
        <v>24</v>
      </c>
      <c r="D276" s="76">
        <v>1</v>
      </c>
      <c r="E276" s="10"/>
      <c r="F276" s="10"/>
      <c r="G276" s="77">
        <f t="shared" si="14"/>
        <v>14400</v>
      </c>
      <c r="H276" s="77"/>
    </row>
    <row r="277" spans="1:8" ht="15">
      <c r="A277" t="s">
        <v>417</v>
      </c>
      <c r="B277" s="105">
        <f>+B271</f>
        <v>1</v>
      </c>
      <c r="C277">
        <f>+C179</f>
        <v>24</v>
      </c>
      <c r="D277" s="76">
        <v>125</v>
      </c>
      <c r="E277" s="10"/>
      <c r="F277" s="10"/>
      <c r="G277" s="77">
        <f t="shared" si="14"/>
        <v>3000</v>
      </c>
      <c r="H277" s="77"/>
    </row>
    <row r="278" spans="1:8" ht="15">
      <c r="A278" t="s">
        <v>418</v>
      </c>
      <c r="B278" s="105">
        <v>10</v>
      </c>
      <c r="C278">
        <f>+C180</f>
        <v>24</v>
      </c>
      <c r="D278" s="76">
        <f>+D272</f>
        <v>6.2</v>
      </c>
      <c r="E278" s="10"/>
      <c r="F278" s="10"/>
      <c r="G278" s="77">
        <f t="shared" si="14"/>
        <v>1488</v>
      </c>
      <c r="H278" s="77"/>
    </row>
    <row r="279" spans="1:8" ht="15">
      <c r="A279" s="2"/>
      <c r="B279" s="105"/>
      <c r="D279" s="76"/>
      <c r="E279" s="10"/>
      <c r="F279" s="10"/>
      <c r="G279" s="77">
        <f t="shared" si="14"/>
        <v>0</v>
      </c>
      <c r="H279" s="77"/>
    </row>
    <row r="280" spans="1:8" ht="15">
      <c r="A280" s="120" t="s">
        <v>419</v>
      </c>
      <c r="B280" s="105">
        <f>(6*126)+(6*30)+(6*25)</f>
        <v>1086</v>
      </c>
      <c r="C280">
        <v>4</v>
      </c>
      <c r="D280" s="76">
        <f>+D270</f>
        <v>1</v>
      </c>
      <c r="E280" s="10"/>
      <c r="F280" s="10"/>
      <c r="G280" s="77">
        <f t="shared" si="14"/>
        <v>4344</v>
      </c>
      <c r="H280" s="77"/>
    </row>
    <row r="281" spans="1:8" ht="15">
      <c r="A281" t="s">
        <v>420</v>
      </c>
      <c r="B281" s="105">
        <v>2</v>
      </c>
      <c r="C281">
        <f>+C280</f>
        <v>4</v>
      </c>
      <c r="D281" s="76">
        <f>+D271</f>
        <v>125</v>
      </c>
      <c r="E281" s="10"/>
      <c r="F281" s="10"/>
      <c r="G281" s="77">
        <f t="shared" si="14"/>
        <v>1000</v>
      </c>
      <c r="H281" s="77"/>
    </row>
    <row r="282" spans="1:8" ht="15">
      <c r="A282" t="s">
        <v>421</v>
      </c>
      <c r="B282" s="105">
        <v>10</v>
      </c>
      <c r="C282">
        <f>+C281</f>
        <v>4</v>
      </c>
      <c r="D282" s="76">
        <f>+D278</f>
        <v>6.2</v>
      </c>
      <c r="E282" s="10"/>
      <c r="F282" s="10"/>
      <c r="G282" s="77">
        <f t="shared" si="14"/>
        <v>248</v>
      </c>
      <c r="H282" s="77"/>
    </row>
    <row r="283" spans="2:8" ht="15">
      <c r="B283" s="105"/>
      <c r="D283" s="76"/>
      <c r="E283" s="10"/>
      <c r="F283" s="10"/>
      <c r="H283" s="77"/>
    </row>
    <row r="284" spans="1:9" ht="15.75" thickBot="1">
      <c r="A284" s="106" t="s">
        <v>422</v>
      </c>
      <c r="B284" s="107"/>
      <c r="C284" s="106"/>
      <c r="D284" s="108"/>
      <c r="E284" s="109"/>
      <c r="F284" s="109"/>
      <c r="G284" s="109">
        <f>SUM(G270:G282)</f>
        <v>40445.6</v>
      </c>
      <c r="H284" s="77">
        <f>+G284/48</f>
        <v>842.6166666666667</v>
      </c>
      <c r="I284">
        <v>56344</v>
      </c>
    </row>
    <row r="285" spans="2:8" ht="15">
      <c r="B285" s="105"/>
      <c r="D285" s="76"/>
      <c r="E285" s="10"/>
      <c r="F285" s="10"/>
      <c r="H285" s="77"/>
    </row>
    <row r="286" spans="1:8" ht="15">
      <c r="A286" s="2" t="s">
        <v>423</v>
      </c>
      <c r="B286" s="105"/>
      <c r="D286" s="76"/>
      <c r="E286" s="10"/>
      <c r="F286" s="10"/>
      <c r="H286" s="77"/>
    </row>
    <row r="287" spans="1:8" ht="15">
      <c r="A287" t="s">
        <v>424</v>
      </c>
      <c r="B287" s="105">
        <f>8*5</f>
        <v>40</v>
      </c>
      <c r="C287">
        <v>1</v>
      </c>
      <c r="D287" s="76">
        <f>+D272</f>
        <v>6.2</v>
      </c>
      <c r="E287" s="10"/>
      <c r="F287" s="10"/>
      <c r="G287" s="77">
        <f>+B287*C287*D287</f>
        <v>248</v>
      </c>
      <c r="H287" s="77"/>
    </row>
    <row r="288" spans="1:8" ht="15">
      <c r="A288" t="s">
        <v>425</v>
      </c>
      <c r="B288" s="105">
        <v>1</v>
      </c>
      <c r="C288">
        <v>1</v>
      </c>
      <c r="D288" s="76">
        <v>2000</v>
      </c>
      <c r="E288" s="10"/>
      <c r="F288" s="10"/>
      <c r="G288" s="77">
        <f>+B288*C288*D288</f>
        <v>2000</v>
      </c>
      <c r="H288" s="77"/>
    </row>
    <row r="289" spans="2:8" ht="15">
      <c r="B289" s="105"/>
      <c r="D289" s="76"/>
      <c r="E289" s="10"/>
      <c r="F289" s="10"/>
      <c r="H289" s="77"/>
    </row>
    <row r="290" spans="1:8" ht="15.75" thickBot="1">
      <c r="A290" s="106" t="s">
        <v>426</v>
      </c>
      <c r="B290" s="107"/>
      <c r="C290" s="106"/>
      <c r="D290" s="108"/>
      <c r="E290" s="109"/>
      <c r="F290" s="109"/>
      <c r="G290" s="109">
        <f>SUM(G287:G288)</f>
        <v>2248</v>
      </c>
      <c r="H290" s="77">
        <f>+G290/48</f>
        <v>46.833333333333336</v>
      </c>
    </row>
    <row r="291" spans="1:8" ht="15">
      <c r="A291" s="97"/>
      <c r="B291" s="98"/>
      <c r="C291" s="97"/>
      <c r="D291" s="101"/>
      <c r="E291" s="100"/>
      <c r="F291" s="100"/>
      <c r="G291" s="100"/>
      <c r="H291" s="77"/>
    </row>
    <row r="292" spans="1:8" ht="15">
      <c r="A292" s="93" t="s">
        <v>427</v>
      </c>
      <c r="B292" s="98"/>
      <c r="C292" s="97"/>
      <c r="D292" s="101"/>
      <c r="E292" s="100"/>
      <c r="F292" s="100"/>
      <c r="G292" s="100">
        <v>25000</v>
      </c>
      <c r="H292" s="77"/>
    </row>
    <row r="293" spans="1:8" ht="15">
      <c r="A293" s="97" t="s">
        <v>428</v>
      </c>
      <c r="B293" s="98"/>
      <c r="C293" s="97"/>
      <c r="D293" s="101"/>
      <c r="E293" s="100"/>
      <c r="F293" s="100"/>
      <c r="G293" s="100" t="s">
        <v>80</v>
      </c>
      <c r="H293" s="77"/>
    </row>
    <row r="294" spans="1:8" ht="15">
      <c r="A294" s="97" t="s">
        <v>429</v>
      </c>
      <c r="B294" s="98"/>
      <c r="C294" s="97"/>
      <c r="D294" s="101"/>
      <c r="E294" s="100"/>
      <c r="F294" s="100"/>
      <c r="G294" s="100"/>
      <c r="H294" s="77"/>
    </row>
    <row r="295" spans="1:8" ht="15">
      <c r="A295" s="97" t="s">
        <v>430</v>
      </c>
      <c r="B295" s="98"/>
      <c r="C295" s="97"/>
      <c r="D295" s="101"/>
      <c r="E295" s="100"/>
      <c r="F295" s="100"/>
      <c r="G295" s="100"/>
      <c r="H295" s="77"/>
    </row>
    <row r="296" spans="1:8" ht="15">
      <c r="A296" s="97" t="s">
        <v>431</v>
      </c>
      <c r="B296" s="98"/>
      <c r="C296" s="97"/>
      <c r="D296" s="101"/>
      <c r="E296" s="100"/>
      <c r="F296" s="100"/>
      <c r="G296" s="100"/>
      <c r="H296" s="77"/>
    </row>
    <row r="297" spans="1:8" ht="15">
      <c r="A297" s="97"/>
      <c r="B297" s="98"/>
      <c r="C297" s="97"/>
      <c r="D297" s="101"/>
      <c r="E297" s="100"/>
      <c r="F297" s="100"/>
      <c r="G297" s="100"/>
      <c r="H297" s="77"/>
    </row>
    <row r="298" spans="1:8" ht="15.75" thickBot="1">
      <c r="A298" s="106" t="s">
        <v>432</v>
      </c>
      <c r="B298" s="107"/>
      <c r="C298" s="106"/>
      <c r="D298" s="108"/>
      <c r="E298" s="109"/>
      <c r="F298" s="109"/>
      <c r="G298" s="109">
        <f>+G292</f>
        <v>25000</v>
      </c>
      <c r="H298" s="77"/>
    </row>
    <row r="299" spans="2:8" ht="15">
      <c r="B299" s="105"/>
      <c r="D299" s="76"/>
      <c r="E299" s="10"/>
      <c r="F299" s="10"/>
      <c r="H299" s="77"/>
    </row>
    <row r="300" spans="1:8" ht="15">
      <c r="A300" s="2" t="s">
        <v>433</v>
      </c>
      <c r="B300" s="105"/>
      <c r="D300" s="76"/>
      <c r="E300" s="10"/>
      <c r="F300" s="10"/>
      <c r="G300" s="113"/>
      <c r="H300" s="77"/>
    </row>
    <row r="301" spans="1:8" ht="15">
      <c r="A301" t="s">
        <v>434</v>
      </c>
      <c r="B301" s="105"/>
      <c r="C301">
        <v>4</v>
      </c>
      <c r="D301" s="76">
        <v>5000</v>
      </c>
      <c r="E301" s="10"/>
      <c r="F301" s="10"/>
      <c r="G301" s="10">
        <f>+C301*D301</f>
        <v>20000</v>
      </c>
      <c r="H301" s="77"/>
    </row>
    <row r="302" spans="1:8" ht="15">
      <c r="A302" t="s">
        <v>435</v>
      </c>
      <c r="B302" s="105"/>
      <c r="C302">
        <v>4</v>
      </c>
      <c r="D302" s="76">
        <v>1500</v>
      </c>
      <c r="E302" s="10"/>
      <c r="F302" s="10"/>
      <c r="G302" s="10">
        <f>+C302*D302</f>
        <v>6000</v>
      </c>
      <c r="H302" s="77"/>
    </row>
    <row r="303" spans="1:8" ht="15">
      <c r="A303" t="s">
        <v>436</v>
      </c>
      <c r="B303" s="105"/>
      <c r="C303">
        <v>1</v>
      </c>
      <c r="D303" s="76">
        <v>25000</v>
      </c>
      <c r="E303" s="10"/>
      <c r="F303" s="10"/>
      <c r="G303" s="10">
        <f>+C303*D303</f>
        <v>25000</v>
      </c>
      <c r="H303" s="77"/>
    </row>
    <row r="304" spans="1:8" ht="15">
      <c r="A304" t="s">
        <v>437</v>
      </c>
      <c r="B304" s="105"/>
      <c r="C304">
        <v>4</v>
      </c>
      <c r="D304" s="76">
        <v>5000</v>
      </c>
      <c r="E304" s="10"/>
      <c r="F304" s="10"/>
      <c r="G304" s="10">
        <f>+C304*D304</f>
        <v>20000</v>
      </c>
      <c r="H304" s="77"/>
    </row>
    <row r="305" spans="1:8" ht="15">
      <c r="A305" t="s">
        <v>438</v>
      </c>
      <c r="B305" s="10">
        <f>61*126</f>
        <v>7686</v>
      </c>
      <c r="C305">
        <f>42*6*1.1</f>
        <v>277.20000000000005</v>
      </c>
      <c r="D305" s="76">
        <v>28</v>
      </c>
      <c r="E305" s="10"/>
      <c r="G305" s="10">
        <f>+C305*D305</f>
        <v>7761.600000000001</v>
      </c>
      <c r="H305" s="77"/>
    </row>
    <row r="306" spans="1:8" ht="15">
      <c r="A306" t="s">
        <v>439</v>
      </c>
      <c r="B306" s="105">
        <v>28</v>
      </c>
      <c r="D306" s="76"/>
      <c r="E306" s="10"/>
      <c r="F306" s="10"/>
      <c r="G306" s="10">
        <f aca="true" t="shared" si="15" ref="G306:G320">+C306*D306</f>
        <v>0</v>
      </c>
      <c r="H306" s="77"/>
    </row>
    <row r="307" spans="1:8" ht="15">
      <c r="A307" t="s">
        <v>440</v>
      </c>
      <c r="B307" s="105"/>
      <c r="C307">
        <v>1</v>
      </c>
      <c r="D307" s="76">
        <v>500</v>
      </c>
      <c r="E307" s="10"/>
      <c r="F307" s="10"/>
      <c r="G307" s="10">
        <f t="shared" si="15"/>
        <v>500</v>
      </c>
      <c r="H307" s="77"/>
    </row>
    <row r="308" spans="1:8" ht="15">
      <c r="A308" t="s">
        <v>441</v>
      </c>
      <c r="B308" s="105"/>
      <c r="C308">
        <v>1</v>
      </c>
      <c r="D308" s="76">
        <v>5000</v>
      </c>
      <c r="E308" s="10"/>
      <c r="F308" s="10"/>
      <c r="G308" s="10">
        <f t="shared" si="15"/>
        <v>5000</v>
      </c>
      <c r="H308" s="77"/>
    </row>
    <row r="309" spans="1:8" ht="15">
      <c r="A309" t="s">
        <v>442</v>
      </c>
      <c r="B309" s="105"/>
      <c r="C309">
        <v>1</v>
      </c>
      <c r="D309" s="76">
        <v>500</v>
      </c>
      <c r="E309" s="10"/>
      <c r="F309" s="10"/>
      <c r="G309" s="10">
        <f t="shared" si="15"/>
        <v>500</v>
      </c>
      <c r="H309" s="77"/>
    </row>
    <row r="310" spans="1:8" ht="15">
      <c r="A310" t="s">
        <v>443</v>
      </c>
      <c r="B310" s="105"/>
      <c r="C310">
        <v>2</v>
      </c>
      <c r="D310" s="76">
        <f>+D315</f>
        <v>425</v>
      </c>
      <c r="E310" s="10"/>
      <c r="F310" s="10"/>
      <c r="G310" s="10">
        <f t="shared" si="15"/>
        <v>850</v>
      </c>
      <c r="H310" s="77"/>
    </row>
    <row r="311" spans="1:8" ht="15">
      <c r="A311" t="s">
        <v>444</v>
      </c>
      <c r="B311" s="105"/>
      <c r="C311">
        <v>48</v>
      </c>
      <c r="D311" s="76">
        <v>750</v>
      </c>
      <c r="E311" s="10"/>
      <c r="F311" s="10"/>
      <c r="G311" s="10">
        <f t="shared" si="15"/>
        <v>36000</v>
      </c>
      <c r="H311" s="77">
        <f>+G311*2</f>
        <v>72000</v>
      </c>
    </row>
    <row r="312" spans="1:8" ht="15">
      <c r="A312" t="s">
        <v>445</v>
      </c>
      <c r="B312" s="105"/>
      <c r="C312">
        <v>1</v>
      </c>
      <c r="D312" s="76">
        <v>10000</v>
      </c>
      <c r="E312" s="10"/>
      <c r="F312" s="10"/>
      <c r="G312" s="10">
        <f t="shared" si="15"/>
        <v>10000</v>
      </c>
      <c r="H312" s="77"/>
    </row>
    <row r="313" spans="1:8" ht="15">
      <c r="A313" t="s">
        <v>446</v>
      </c>
      <c r="B313" s="105"/>
      <c r="C313" s="10">
        <f>+J47</f>
        <v>0.2293801652892562</v>
      </c>
      <c r="D313" s="76">
        <v>50000</v>
      </c>
      <c r="E313" s="10"/>
      <c r="F313" s="10"/>
      <c r="G313" s="10">
        <f t="shared" si="15"/>
        <v>11469.00826446281</v>
      </c>
      <c r="H313" s="77">
        <f>+G313*2</f>
        <v>22938.01652892562</v>
      </c>
    </row>
    <row r="314" spans="1:8" ht="15">
      <c r="A314" t="s">
        <v>447</v>
      </c>
      <c r="B314" s="105"/>
      <c r="C314" s="10">
        <v>4</v>
      </c>
      <c r="D314" s="76">
        <v>1000</v>
      </c>
      <c r="E314" s="10"/>
      <c r="F314" s="10"/>
      <c r="G314" s="10">
        <f t="shared" si="15"/>
        <v>4000</v>
      </c>
      <c r="H314" s="77"/>
    </row>
    <row r="315" spans="1:8" ht="15">
      <c r="A315" t="s">
        <v>448</v>
      </c>
      <c r="B315" s="105"/>
      <c r="C315" s="10">
        <v>2</v>
      </c>
      <c r="D315" s="116">
        <v>425</v>
      </c>
      <c r="E315" s="10"/>
      <c r="F315" s="10"/>
      <c r="G315" s="10">
        <f t="shared" si="15"/>
        <v>850</v>
      </c>
      <c r="H315" s="77"/>
    </row>
    <row r="316" spans="1:8" ht="15">
      <c r="A316" t="s">
        <v>449</v>
      </c>
      <c r="B316" s="105"/>
      <c r="C316" s="10">
        <v>1</v>
      </c>
      <c r="D316" s="76">
        <v>2500</v>
      </c>
      <c r="E316" s="10"/>
      <c r="F316" s="10"/>
      <c r="G316" s="10">
        <f t="shared" si="15"/>
        <v>2500</v>
      </c>
      <c r="H316" s="77"/>
    </row>
    <row r="317" spans="1:8" ht="15">
      <c r="A317" t="s">
        <v>450</v>
      </c>
      <c r="B317" s="105"/>
      <c r="C317" s="10">
        <v>2</v>
      </c>
      <c r="D317" s="116">
        <v>260</v>
      </c>
      <c r="E317" s="10"/>
      <c r="F317" s="10"/>
      <c r="G317" s="10">
        <f t="shared" si="15"/>
        <v>520</v>
      </c>
      <c r="H317" s="77"/>
    </row>
    <row r="318" spans="1:8" ht="15">
      <c r="A318" t="s">
        <v>451</v>
      </c>
      <c r="B318" s="105"/>
      <c r="C318" s="10">
        <v>2</v>
      </c>
      <c r="D318" s="76">
        <v>500</v>
      </c>
      <c r="E318" s="10"/>
      <c r="F318" s="10"/>
      <c r="G318" s="10">
        <f t="shared" si="15"/>
        <v>1000</v>
      </c>
      <c r="H318" s="77"/>
    </row>
    <row r="319" spans="1:8" ht="15">
      <c r="A319" t="s">
        <v>452</v>
      </c>
      <c r="B319" s="105"/>
      <c r="C319" s="10">
        <v>1</v>
      </c>
      <c r="D319" s="76">
        <v>5000</v>
      </c>
      <c r="E319" s="10"/>
      <c r="F319" s="10"/>
      <c r="G319" s="10">
        <f t="shared" si="15"/>
        <v>5000</v>
      </c>
      <c r="H319" s="77"/>
    </row>
    <row r="320" spans="1:8" ht="15">
      <c r="A320" t="s">
        <v>196</v>
      </c>
      <c r="B320" s="105"/>
      <c r="C320" s="10">
        <v>1</v>
      </c>
      <c r="D320" s="76">
        <f>30255.09-3600</f>
        <v>26655.09</v>
      </c>
      <c r="E320" s="10"/>
      <c r="F320" s="10"/>
      <c r="G320" s="10">
        <f t="shared" si="15"/>
        <v>26655.09</v>
      </c>
      <c r="H320" s="77" t="s">
        <v>80</v>
      </c>
    </row>
    <row r="321" spans="1:8" ht="15">
      <c r="A321" t="s">
        <v>80</v>
      </c>
      <c r="B321" s="105"/>
      <c r="D321" s="76"/>
      <c r="E321" s="10"/>
      <c r="F321" s="10"/>
      <c r="H321" s="77"/>
    </row>
    <row r="322" spans="1:8" ht="15.75" thickBot="1">
      <c r="A322" s="124" t="s">
        <v>453</v>
      </c>
      <c r="B322" s="125"/>
      <c r="C322" s="124"/>
      <c r="D322" s="126"/>
      <c r="E322" s="127"/>
      <c r="F322" s="127"/>
      <c r="G322" s="127">
        <f>SUM(G300:G320)</f>
        <v>183605.69826446282</v>
      </c>
      <c r="H322" s="77"/>
    </row>
    <row r="323" spans="2:14" ht="15">
      <c r="B323" s="105"/>
      <c r="D323" s="76"/>
      <c r="E323" s="10"/>
      <c r="F323" s="10"/>
      <c r="H323" s="192"/>
      <c r="I323" s="64"/>
      <c r="J323" s="64"/>
      <c r="K323" s="64"/>
      <c r="L323" s="64"/>
      <c r="M323" s="64"/>
      <c r="N323" s="64"/>
    </row>
    <row r="324" spans="2:14" ht="15">
      <c r="B324" s="105"/>
      <c r="D324" s="76"/>
      <c r="E324" s="10"/>
      <c r="F324" s="10"/>
      <c r="H324" s="192"/>
      <c r="I324" s="64"/>
      <c r="J324" s="64"/>
      <c r="K324" s="64"/>
      <c r="L324" s="212"/>
      <c r="M324" s="64"/>
      <c r="N324" s="64"/>
    </row>
    <row r="325" spans="1:14" ht="15.75" thickBot="1">
      <c r="A325" s="129" t="s">
        <v>454</v>
      </c>
      <c r="B325" s="130"/>
      <c r="C325" s="129"/>
      <c r="D325" s="131"/>
      <c r="E325" s="132"/>
      <c r="F325" s="132"/>
      <c r="G325" s="132">
        <f>+G87+G108+G134+G214+G227+G267+G255+G284+G290+G322+G298+G102</f>
        <v>724999.9982644629</v>
      </c>
      <c r="H325" s="192"/>
      <c r="I325" s="64"/>
      <c r="J325" s="192"/>
      <c r="K325" s="64"/>
      <c r="L325" s="64"/>
      <c r="M325" s="64"/>
      <c r="N325" s="64"/>
    </row>
    <row r="326" spans="1:14" ht="15">
      <c r="A326" s="93"/>
      <c r="B326" s="94"/>
      <c r="C326" s="93"/>
      <c r="D326" s="96"/>
      <c r="E326" s="95"/>
      <c r="F326" s="95"/>
      <c r="G326" s="95"/>
      <c r="H326" s="192"/>
      <c r="I326" s="64"/>
      <c r="J326" s="64"/>
      <c r="K326" s="64"/>
      <c r="L326" s="64"/>
      <c r="M326" s="64"/>
      <c r="N326" s="64"/>
    </row>
    <row r="327" spans="1:14" ht="15">
      <c r="A327" s="182" t="s">
        <v>497</v>
      </c>
      <c r="B327" s="183" t="s">
        <v>495</v>
      </c>
      <c r="C327" s="178" t="s">
        <v>531</v>
      </c>
      <c r="D327" s="183" t="s">
        <v>487</v>
      </c>
      <c r="E327" s="178" t="s">
        <v>532</v>
      </c>
      <c r="F327" s="184" t="s">
        <v>494</v>
      </c>
      <c r="G327" s="95"/>
      <c r="H327" s="192"/>
      <c r="I327" s="64"/>
      <c r="J327" s="64"/>
      <c r="K327" s="64"/>
      <c r="L327" s="64"/>
      <c r="M327" s="64"/>
      <c r="N327" s="64"/>
    </row>
    <row r="328" spans="1:14" ht="15">
      <c r="A328" s="64" t="s">
        <v>483</v>
      </c>
      <c r="B328" s="152">
        <f>+G311</f>
        <v>36000</v>
      </c>
      <c r="C328">
        <v>48</v>
      </c>
      <c r="D328" s="121">
        <v>2</v>
      </c>
      <c r="E328">
        <f>+C328*D328</f>
        <v>96</v>
      </c>
      <c r="F328" s="185">
        <f>+B328*D328</f>
        <v>72000</v>
      </c>
      <c r="G328" s="95">
        <f>+F328*4</f>
        <v>288000</v>
      </c>
      <c r="M328" s="64"/>
      <c r="N328" s="64"/>
    </row>
    <row r="329" spans="1:14" ht="15">
      <c r="A329" s="64" t="s">
        <v>493</v>
      </c>
      <c r="B329" s="140">
        <f>+G102</f>
        <v>27046.800000000007</v>
      </c>
      <c r="C329">
        <f>+C328</f>
        <v>48</v>
      </c>
      <c r="D329" s="186">
        <f>+D328</f>
        <v>2</v>
      </c>
      <c r="E329">
        <f>+C329*D329</f>
        <v>96</v>
      </c>
      <c r="F329" s="185">
        <f>+B329*D329</f>
        <v>54093.60000000001</v>
      </c>
      <c r="G329" s="135"/>
      <c r="M329" s="64"/>
      <c r="N329" s="64"/>
    </row>
    <row r="330" spans="1:14" ht="15">
      <c r="A330" s="64" t="s">
        <v>496</v>
      </c>
      <c r="B330" s="140">
        <f>+G325-B328-B329-B331</f>
        <v>650484.1900000001</v>
      </c>
      <c r="C330">
        <f>+C329</f>
        <v>48</v>
      </c>
      <c r="D330" s="186">
        <f>+D328</f>
        <v>2</v>
      </c>
      <c r="E330">
        <f>+C330*D330</f>
        <v>96</v>
      </c>
      <c r="F330" s="185">
        <f>+B330*D330</f>
        <v>1300968.3800000001</v>
      </c>
      <c r="G330" s="135"/>
      <c r="M330" s="64"/>
      <c r="N330" s="64"/>
    </row>
    <row r="331" spans="1:14" ht="15">
      <c r="A331" s="64" t="s">
        <v>446</v>
      </c>
      <c r="B331" s="140">
        <f>+G313</f>
        <v>11469.00826446281</v>
      </c>
      <c r="C331">
        <f>+C328</f>
        <v>48</v>
      </c>
      <c r="D331" s="186">
        <f>+D328</f>
        <v>2</v>
      </c>
      <c r="E331">
        <f>+C331*D331</f>
        <v>96</v>
      </c>
      <c r="F331" s="185">
        <f>+B331*D331</f>
        <v>22938.01652892562</v>
      </c>
      <c r="G331" s="135" t="s">
        <v>80</v>
      </c>
      <c r="M331" s="64"/>
      <c r="N331" s="64"/>
    </row>
    <row r="332" spans="1:14" ht="15">
      <c r="A332" s="64"/>
      <c r="B332" s="133"/>
      <c r="D332" s="187"/>
      <c r="F332" s="133"/>
      <c r="G332" s="135"/>
      <c r="M332" s="64"/>
      <c r="N332" s="64"/>
    </row>
    <row r="333" spans="1:14" ht="15">
      <c r="A333" s="54" t="s">
        <v>494</v>
      </c>
      <c r="B333" s="136">
        <f>SUM(B328:B331)</f>
        <v>724999.9982644629</v>
      </c>
      <c r="C333" s="123"/>
      <c r="D333" s="176"/>
      <c r="E333" s="123"/>
      <c r="F333" s="136">
        <f>SUM(F328:F331)</f>
        <v>1449999.9965289258</v>
      </c>
      <c r="G333" s="135">
        <f>725000*2</f>
        <v>1450000</v>
      </c>
      <c r="M333" s="64"/>
      <c r="N333" s="64"/>
    </row>
    <row r="334" spans="1:14" ht="15">
      <c r="A334" s="56"/>
      <c r="B334" s="135"/>
      <c r="C334" s="188"/>
      <c r="D334" s="135"/>
      <c r="E334" s="135"/>
      <c r="F334" s="135"/>
      <c r="M334" s="64"/>
      <c r="N334" s="64"/>
    </row>
    <row r="335" spans="1:14" ht="15.75">
      <c r="A335" s="218" t="s">
        <v>518</v>
      </c>
      <c r="B335" s="133"/>
      <c r="C335" s="187"/>
      <c r="D335" s="133"/>
      <c r="E335" s="135"/>
      <c r="F335" s="135"/>
      <c r="M335" s="64"/>
      <c r="N335" s="64"/>
    </row>
    <row r="336" spans="1:14" ht="15.75">
      <c r="A336" s="224" t="s">
        <v>534</v>
      </c>
      <c r="B336" s="140">
        <f>+F333</f>
        <v>1449999.9965289258</v>
      </c>
      <c r="C336" s="187">
        <f>+E328</f>
        <v>96</v>
      </c>
      <c r="D336" s="133"/>
      <c r="E336" s="135"/>
      <c r="F336" s="135"/>
      <c r="M336" s="64"/>
      <c r="N336" s="64"/>
    </row>
    <row r="337" spans="1:14" ht="15.75">
      <c r="A337" s="224" t="s">
        <v>533</v>
      </c>
      <c r="B337" s="140">
        <f>+B336</f>
        <v>1449999.9965289258</v>
      </c>
      <c r="C337" s="187">
        <f>+E329</f>
        <v>96</v>
      </c>
      <c r="D337" s="133"/>
      <c r="E337" s="135"/>
      <c r="F337" s="135"/>
      <c r="M337" s="64"/>
      <c r="N337" s="64"/>
    </row>
    <row r="338" spans="1:14" ht="15.75">
      <c r="A338" s="224" t="s">
        <v>535</v>
      </c>
      <c r="B338" s="140">
        <f>+B336</f>
        <v>1449999.9965289258</v>
      </c>
      <c r="C338" s="187">
        <f>+E330</f>
        <v>96</v>
      </c>
      <c r="D338" s="133"/>
      <c r="E338" s="135"/>
      <c r="F338" s="135"/>
      <c r="M338" s="64"/>
      <c r="N338" s="64"/>
    </row>
    <row r="339" spans="1:14" ht="15.75">
      <c r="A339" s="224" t="s">
        <v>676</v>
      </c>
      <c r="B339" s="140">
        <f>+B336</f>
        <v>1449999.9965289258</v>
      </c>
      <c r="C339" s="187">
        <f>+E331</f>
        <v>96</v>
      </c>
      <c r="D339" s="133"/>
      <c r="E339" s="135"/>
      <c r="F339" s="135"/>
      <c r="M339" s="64"/>
      <c r="N339" s="64"/>
    </row>
    <row r="340" spans="1:14" ht="15.75">
      <c r="A340" s="224" t="s">
        <v>677</v>
      </c>
      <c r="B340" s="215">
        <f>+F356</f>
        <v>700000</v>
      </c>
      <c r="C340" s="187">
        <v>50</v>
      </c>
      <c r="D340" s="133"/>
      <c r="E340" s="135"/>
      <c r="F340" s="135"/>
      <c r="M340" s="64"/>
      <c r="N340" s="64"/>
    </row>
    <row r="341" spans="1:14" ht="15.75">
      <c r="A341" s="211" t="s">
        <v>80</v>
      </c>
      <c r="B341" s="133"/>
      <c r="C341" s="187"/>
      <c r="D341" s="133"/>
      <c r="E341" s="135"/>
      <c r="F341" s="135"/>
      <c r="M341" s="64"/>
      <c r="N341" s="64"/>
    </row>
    <row r="342" spans="1:14" ht="15.75">
      <c r="A342" s="211" t="s">
        <v>72</v>
      </c>
      <c r="B342" s="135">
        <f>SUM(B336:B340)+0.01</f>
        <v>6499999.996115703</v>
      </c>
      <c r="C342" s="187"/>
      <c r="D342" s="133"/>
      <c r="E342" s="135"/>
      <c r="F342" s="135"/>
      <c r="M342" s="64"/>
      <c r="N342" s="64"/>
    </row>
    <row r="343" spans="1:14" ht="15.75">
      <c r="A343" s="211"/>
      <c r="B343" s="133"/>
      <c r="C343" s="187"/>
      <c r="D343" s="133"/>
      <c r="E343" s="135"/>
      <c r="F343" s="135"/>
      <c r="M343" s="64"/>
      <c r="N343" s="64"/>
    </row>
    <row r="344" spans="1:14" ht="15">
      <c r="A344" s="181" t="s">
        <v>519</v>
      </c>
      <c r="B344" s="219" t="s">
        <v>521</v>
      </c>
      <c r="C344" s="220" t="s">
        <v>522</v>
      </c>
      <c r="D344" s="219" t="s">
        <v>523</v>
      </c>
      <c r="E344" s="64"/>
      <c r="F344" s="64"/>
      <c r="G344" s="95"/>
      <c r="H344" s="192"/>
      <c r="I344" s="64"/>
      <c r="J344" s="192"/>
      <c r="K344" s="64"/>
      <c r="L344" s="64"/>
      <c r="M344" s="64"/>
      <c r="N344" s="64"/>
    </row>
    <row r="345" spans="1:14" ht="15">
      <c r="A345" s="95" t="s">
        <v>481</v>
      </c>
      <c r="B345" s="192">
        <v>6000</v>
      </c>
      <c r="C345" s="185">
        <v>7500</v>
      </c>
      <c r="D345" s="192">
        <v>8500</v>
      </c>
      <c r="E345" s="64"/>
      <c r="G345" s="95"/>
      <c r="H345" s="192"/>
      <c r="I345" s="64"/>
      <c r="J345" s="192"/>
      <c r="K345" s="64"/>
      <c r="L345" s="64"/>
      <c r="M345" s="64"/>
      <c r="N345" s="64"/>
    </row>
    <row r="346" spans="1:14" ht="15">
      <c r="A346" s="95" t="s">
        <v>482</v>
      </c>
      <c r="B346" s="192">
        <v>2800</v>
      </c>
      <c r="C346" s="185">
        <v>3100</v>
      </c>
      <c r="D346" s="192">
        <v>3500</v>
      </c>
      <c r="E346" s="64"/>
      <c r="F346" s="229" t="s">
        <v>525</v>
      </c>
      <c r="G346" s="95"/>
      <c r="H346" s="192"/>
      <c r="I346" s="64"/>
      <c r="J346" s="192"/>
      <c r="K346" s="64"/>
      <c r="L346" s="64"/>
      <c r="M346" s="64"/>
      <c r="N346" s="64"/>
    </row>
    <row r="347" spans="1:14" ht="15">
      <c r="A347" s="95" t="s">
        <v>483</v>
      </c>
      <c r="B347" s="192">
        <v>750</v>
      </c>
      <c r="C347" s="185">
        <v>750</v>
      </c>
      <c r="D347" s="192">
        <v>1000</v>
      </c>
      <c r="E347" s="227">
        <f>+(B347*B354)+(C347*C354)+(D347*D354)</f>
        <v>43750</v>
      </c>
      <c r="F347" s="230">
        <f>+E347+G328</f>
        <v>331750</v>
      </c>
      <c r="G347" s="95"/>
      <c r="H347" s="192"/>
      <c r="I347" s="64"/>
      <c r="J347" s="192"/>
      <c r="K347" s="64"/>
      <c r="L347" s="64"/>
      <c r="M347" s="64"/>
      <c r="N347" s="64"/>
    </row>
    <row r="348" spans="1:14" ht="15">
      <c r="A348" s="95" t="s">
        <v>484</v>
      </c>
      <c r="B348" s="192">
        <v>1000</v>
      </c>
      <c r="C348" s="185">
        <v>1000</v>
      </c>
      <c r="D348" s="192">
        <v>1500</v>
      </c>
      <c r="E348" s="64"/>
      <c r="G348" s="95"/>
      <c r="H348" s="192"/>
      <c r="I348" s="64"/>
      <c r="J348" s="192"/>
      <c r="K348" s="64"/>
      <c r="L348" s="64"/>
      <c r="M348" s="64"/>
      <c r="N348" s="64"/>
    </row>
    <row r="349" spans="1:14" ht="15">
      <c r="A349" s="95" t="s">
        <v>485</v>
      </c>
      <c r="B349" s="192">
        <v>375</v>
      </c>
      <c r="C349" s="185">
        <v>500</v>
      </c>
      <c r="D349" s="192">
        <v>600</v>
      </c>
      <c r="E349" s="222">
        <f>SUM(B349:D349)</f>
        <v>1475</v>
      </c>
      <c r="G349" s="95"/>
      <c r="H349" s="192"/>
      <c r="I349" s="64"/>
      <c r="J349" s="192"/>
      <c r="K349" s="64"/>
      <c r="L349" s="64"/>
      <c r="M349" s="64"/>
      <c r="N349" s="64"/>
    </row>
    <row r="350" spans="1:14" ht="15">
      <c r="A350" s="95" t="s">
        <v>486</v>
      </c>
      <c r="B350" s="192"/>
      <c r="C350" s="185"/>
      <c r="D350" s="192"/>
      <c r="E350" s="64"/>
      <c r="G350" s="95"/>
      <c r="H350" s="192"/>
      <c r="I350" s="64"/>
      <c r="J350" s="192"/>
      <c r="K350" s="64"/>
      <c r="L350" s="64"/>
      <c r="M350" s="64"/>
      <c r="N350" s="64"/>
    </row>
    <row r="351" spans="1:14" ht="15">
      <c r="A351" s="95"/>
      <c r="B351" s="192"/>
      <c r="C351" s="185"/>
      <c r="D351" s="192"/>
      <c r="E351" s="64"/>
      <c r="G351" s="95"/>
      <c r="H351" s="192"/>
      <c r="I351" s="64"/>
      <c r="J351" s="192"/>
      <c r="K351" s="64"/>
      <c r="L351" s="64"/>
      <c r="M351" s="64"/>
      <c r="N351" s="64"/>
    </row>
    <row r="352" spans="1:14" ht="15">
      <c r="A352" s="95" t="s">
        <v>72</v>
      </c>
      <c r="B352" s="192">
        <v>10925</v>
      </c>
      <c r="C352" s="185">
        <v>12850</v>
      </c>
      <c r="D352" s="192">
        <v>15100</v>
      </c>
      <c r="E352" s="64"/>
      <c r="G352" s="95"/>
      <c r="H352" s="192"/>
      <c r="I352" s="64"/>
      <c r="J352" s="192"/>
      <c r="K352" s="64"/>
      <c r="L352" s="64"/>
      <c r="M352" s="64"/>
      <c r="N352" s="64"/>
    </row>
    <row r="353" spans="1:14" ht="15">
      <c r="A353" s="95"/>
      <c r="B353" s="192"/>
      <c r="C353" s="64"/>
      <c r="D353" s="192"/>
      <c r="E353" s="64"/>
      <c r="G353" s="95"/>
      <c r="H353" s="192"/>
      <c r="I353" s="64"/>
      <c r="J353" s="192"/>
      <c r="K353" s="64"/>
      <c r="L353" s="64"/>
      <c r="M353" s="64"/>
      <c r="N353" s="64"/>
    </row>
    <row r="354" spans="1:14" ht="15">
      <c r="A354" s="95" t="s">
        <v>520</v>
      </c>
      <c r="B354" s="221">
        <v>3</v>
      </c>
      <c r="C354" s="193">
        <v>22</v>
      </c>
      <c r="D354" s="221">
        <v>25</v>
      </c>
      <c r="E354" s="193">
        <f>SUM(B354:D354)</f>
        <v>50</v>
      </c>
      <c r="G354" s="95"/>
      <c r="H354" s="192"/>
      <c r="I354" s="64"/>
      <c r="J354" s="192"/>
      <c r="K354" s="64"/>
      <c r="L354" s="64"/>
      <c r="M354" s="64"/>
      <c r="N354" s="64"/>
    </row>
    <row r="355" spans="1:14" ht="15">
      <c r="A355" s="95"/>
      <c r="B355" s="192"/>
      <c r="C355" s="64"/>
      <c r="D355" s="192"/>
      <c r="E355" s="64"/>
      <c r="F355" s="55" t="s">
        <v>524</v>
      </c>
      <c r="G355" s="95"/>
      <c r="H355" s="192"/>
      <c r="I355" s="64"/>
      <c r="J355" s="192"/>
      <c r="K355" s="64"/>
      <c r="L355" s="64"/>
      <c r="M355" s="64"/>
      <c r="N355" s="64"/>
    </row>
    <row r="356" spans="1:14" ht="15">
      <c r="A356" s="95" t="s">
        <v>454</v>
      </c>
      <c r="B356" s="192">
        <v>32775</v>
      </c>
      <c r="C356" s="185">
        <v>282700</v>
      </c>
      <c r="D356" s="192">
        <v>377500</v>
      </c>
      <c r="E356" s="222">
        <f>SUM(B356:D356)</f>
        <v>692975</v>
      </c>
      <c r="F356" s="223">
        <v>700000</v>
      </c>
      <c r="G356" s="95"/>
      <c r="H356" s="192"/>
      <c r="I356" s="64"/>
      <c r="J356" s="192"/>
      <c r="K356" s="64"/>
      <c r="L356" s="64"/>
      <c r="M356" s="64"/>
      <c r="N356" s="64"/>
    </row>
    <row r="357" spans="1:14" ht="15.75">
      <c r="A357" s="211"/>
      <c r="B357" s="133"/>
      <c r="C357" s="187"/>
      <c r="D357" s="133"/>
      <c r="E357" s="135"/>
      <c r="F357" s="135"/>
      <c r="G357" s="95"/>
      <c r="H357" s="192"/>
      <c r="I357" s="64"/>
      <c r="J357" s="192"/>
      <c r="K357" s="64"/>
      <c r="L357" s="64"/>
      <c r="M357" s="64"/>
      <c r="N357" s="64"/>
    </row>
    <row r="358" spans="1:14" ht="15.75">
      <c r="A358" s="211"/>
      <c r="B358" s="133"/>
      <c r="C358" s="187"/>
      <c r="D358" s="133"/>
      <c r="E358" s="135"/>
      <c r="F358" s="135"/>
      <c r="G358" s="95"/>
      <c r="H358" s="192"/>
      <c r="I358" s="64"/>
      <c r="J358" s="192"/>
      <c r="K358" s="64"/>
      <c r="L358" s="64"/>
      <c r="M358" s="64"/>
      <c r="N358" s="64"/>
    </row>
    <row r="359" spans="1:14" ht="15.75">
      <c r="A359" s="211"/>
      <c r="B359" s="133"/>
      <c r="C359" s="187"/>
      <c r="D359" s="133"/>
      <c r="E359" s="135"/>
      <c r="F359" s="135"/>
      <c r="G359" s="95"/>
      <c r="H359" s="192"/>
      <c r="I359" s="64"/>
      <c r="J359" s="192"/>
      <c r="K359" s="64"/>
      <c r="L359" s="64"/>
      <c r="M359" s="64"/>
      <c r="N359" s="64"/>
    </row>
    <row r="360" spans="1:14" ht="15.75">
      <c r="A360" s="211"/>
      <c r="B360" s="133"/>
      <c r="C360" s="187"/>
      <c r="D360" s="133"/>
      <c r="E360" s="135"/>
      <c r="F360" s="135"/>
      <c r="G360" s="95"/>
      <c r="H360" s="192"/>
      <c r="I360" s="64"/>
      <c r="J360" s="192"/>
      <c r="K360" s="64"/>
      <c r="L360" s="64"/>
      <c r="M360" s="64"/>
      <c r="N360" s="64"/>
    </row>
    <row r="361" spans="1:14" ht="15.75">
      <c r="A361" s="210" t="s">
        <v>72</v>
      </c>
      <c r="B361" s="175"/>
      <c r="C361" s="187"/>
      <c r="D361" s="133"/>
      <c r="E361" s="135"/>
      <c r="F361" s="135"/>
      <c r="G361" s="95"/>
      <c r="H361" s="192"/>
      <c r="I361" s="64"/>
      <c r="J361" s="192"/>
      <c r="K361" s="64"/>
      <c r="L361" s="64"/>
      <c r="M361" s="64"/>
      <c r="N361" s="64"/>
    </row>
    <row r="362" spans="1:14" ht="15">
      <c r="A362" s="64"/>
      <c r="B362" s="133"/>
      <c r="C362" s="187"/>
      <c r="D362" s="133"/>
      <c r="E362" s="135"/>
      <c r="F362" s="135"/>
      <c r="G362" s="95"/>
      <c r="H362" s="192"/>
      <c r="I362" s="64"/>
      <c r="J362" s="192"/>
      <c r="K362" s="64"/>
      <c r="L362" s="64"/>
      <c r="M362" s="64"/>
      <c r="N362" s="64"/>
    </row>
    <row r="363" spans="1:14" ht="15">
      <c r="A363" s="54" t="s">
        <v>507</v>
      </c>
      <c r="B363" s="183" t="s">
        <v>495</v>
      </c>
      <c r="C363" s="189" t="s">
        <v>502</v>
      </c>
      <c r="D363" s="190" t="s">
        <v>503</v>
      </c>
      <c r="E363" s="179" t="s">
        <v>504</v>
      </c>
      <c r="F363" s="191" t="s">
        <v>505</v>
      </c>
      <c r="G363" s="191" t="s">
        <v>72</v>
      </c>
      <c r="H363" s="192"/>
      <c r="I363" s="64"/>
      <c r="J363" s="192"/>
      <c r="K363" s="64"/>
      <c r="L363" s="64"/>
      <c r="M363" s="64"/>
      <c r="N363" s="64"/>
    </row>
    <row r="364" spans="1:14" ht="15">
      <c r="A364" s="64" t="s">
        <v>500</v>
      </c>
      <c r="B364" s="140">
        <f>+G526</f>
        <v>14040.000000000002</v>
      </c>
      <c r="C364" s="213">
        <f>+H526</f>
        <v>7020.000000000001</v>
      </c>
      <c r="D364" s="140">
        <f>+H528</f>
        <v>4756.297683426914</v>
      </c>
      <c r="E364" s="140">
        <f>+C364+D364</f>
        <v>11776.297683426914</v>
      </c>
      <c r="F364" s="214">
        <f>+C472</f>
        <v>2</v>
      </c>
      <c r="G364" s="141">
        <f>+F364*E364</f>
        <v>23552.595366853828</v>
      </c>
      <c r="H364" s="192"/>
      <c r="I364" s="64"/>
      <c r="J364" s="192"/>
      <c r="K364" s="64"/>
      <c r="L364" s="64"/>
      <c r="M364" s="64"/>
      <c r="N364" s="64"/>
    </row>
    <row r="365" spans="1:14" ht="15">
      <c r="A365" s="64" t="s">
        <v>498</v>
      </c>
      <c r="B365" s="140">
        <f>+G588</f>
        <v>166662.09999999998</v>
      </c>
      <c r="C365" s="213">
        <f>+H588</f>
        <v>7575.549999999999</v>
      </c>
      <c r="D365" s="215">
        <f>+H590</f>
        <v>5945.372104283641</v>
      </c>
      <c r="E365" s="140">
        <f>+C365+D365</f>
        <v>13520.92210428364</v>
      </c>
      <c r="F365" s="214">
        <f>+C535</f>
        <v>22</v>
      </c>
      <c r="G365" s="141">
        <f>+F365*E365</f>
        <v>297460.2862942401</v>
      </c>
      <c r="H365" s="192"/>
      <c r="I365" s="64"/>
      <c r="J365" s="192"/>
      <c r="K365" s="64"/>
      <c r="L365" s="64"/>
      <c r="M365" s="64"/>
      <c r="N365" s="64"/>
    </row>
    <row r="366" spans="1:14" ht="15">
      <c r="A366" s="64" t="s">
        <v>499</v>
      </c>
      <c r="B366" s="215">
        <f>+G651</f>
        <v>232760.39999999997</v>
      </c>
      <c r="C366" s="213">
        <f>+H651</f>
        <v>9698.349999999999</v>
      </c>
      <c r="D366" s="140">
        <f>+H653</f>
        <v>7134.446525140371</v>
      </c>
      <c r="E366" s="140">
        <f>+C366+D366</f>
        <v>16832.79652514037</v>
      </c>
      <c r="F366" s="214">
        <f>+C597</f>
        <v>24</v>
      </c>
      <c r="G366" s="141">
        <f>+F366*E366</f>
        <v>403987.1166033689</v>
      </c>
      <c r="H366" s="192"/>
      <c r="I366" s="64"/>
      <c r="J366" s="192"/>
      <c r="K366" s="64"/>
      <c r="L366" s="64"/>
      <c r="M366" s="64"/>
      <c r="N366" s="64"/>
    </row>
    <row r="367" spans="1:14" ht="15">
      <c r="A367" s="64" t="s">
        <v>501</v>
      </c>
      <c r="B367" s="215">
        <f>+G463</f>
        <v>311537.49826446286</v>
      </c>
      <c r="C367" s="186"/>
      <c r="D367" s="216"/>
      <c r="E367" s="140">
        <f>+C367+D367</f>
        <v>0</v>
      </c>
      <c r="F367" s="214"/>
      <c r="G367" s="141">
        <f>+F367*E367</f>
        <v>0</v>
      </c>
      <c r="H367" s="192"/>
      <c r="I367" s="64"/>
      <c r="J367" s="192"/>
      <c r="K367" s="64"/>
      <c r="L367" s="64"/>
      <c r="M367" s="64"/>
      <c r="N367" s="64"/>
    </row>
    <row r="368" spans="1:14" ht="15">
      <c r="A368" s="64"/>
      <c r="B368" s="133"/>
      <c r="C368" s="187"/>
      <c r="D368" s="133"/>
      <c r="E368" s="135"/>
      <c r="F368" s="180"/>
      <c r="G368" s="95"/>
      <c r="H368" s="192"/>
      <c r="I368" s="64"/>
      <c r="J368" s="192"/>
      <c r="K368" s="64"/>
      <c r="L368" s="64"/>
      <c r="M368" s="64"/>
      <c r="N368" s="64"/>
    </row>
    <row r="369" spans="1:10" ht="15">
      <c r="A369" s="54" t="s">
        <v>72</v>
      </c>
      <c r="B369" s="136">
        <f aca="true" t="shared" si="16" ref="B369:G369">SUM(B364:B367)</f>
        <v>724999.9982644628</v>
      </c>
      <c r="C369" s="136">
        <f t="shared" si="16"/>
        <v>24293.899999999998</v>
      </c>
      <c r="D369" s="136">
        <f t="shared" si="16"/>
        <v>17836.116312850925</v>
      </c>
      <c r="E369" s="136">
        <f t="shared" si="16"/>
        <v>42130.01631285092</v>
      </c>
      <c r="F369" s="136">
        <f t="shared" si="16"/>
        <v>48</v>
      </c>
      <c r="G369" s="136">
        <f t="shared" si="16"/>
        <v>724999.9982644628</v>
      </c>
      <c r="H369" s="77"/>
      <c r="J369" s="77"/>
    </row>
    <row r="370" spans="1:10" ht="15">
      <c r="A370" s="56"/>
      <c r="B370" s="135"/>
      <c r="C370" s="135"/>
      <c r="D370" s="135"/>
      <c r="E370" s="135"/>
      <c r="F370" s="135"/>
      <c r="G370" s="135"/>
      <c r="H370" s="77"/>
      <c r="J370" s="77"/>
    </row>
    <row r="371" spans="1:10" ht="15">
      <c r="A371" s="56"/>
      <c r="B371" s="135"/>
      <c r="C371" s="135"/>
      <c r="D371" s="135"/>
      <c r="E371" s="135"/>
      <c r="F371" s="135"/>
      <c r="G371" s="135"/>
      <c r="H371" s="77"/>
      <c r="J371" s="77"/>
    </row>
    <row r="372" spans="1:10" ht="15">
      <c r="A372" s="173" t="s">
        <v>506</v>
      </c>
      <c r="B372" s="133"/>
      <c r="C372" s="134"/>
      <c r="D372" s="133"/>
      <c r="E372" s="135"/>
      <c r="F372" s="135"/>
      <c r="G372" s="95"/>
      <c r="H372" s="77"/>
      <c r="J372" s="77">
        <f>+D347-J364</f>
        <v>1000</v>
      </c>
    </row>
    <row r="373" spans="1:10" ht="15">
      <c r="A373" s="137" t="s">
        <v>455</v>
      </c>
      <c r="B373" s="133"/>
      <c r="C373" s="134"/>
      <c r="D373" s="133"/>
      <c r="E373" s="135"/>
      <c r="F373" s="135"/>
      <c r="G373" s="95"/>
      <c r="H373" s="77"/>
      <c r="J373" s="77"/>
    </row>
    <row r="374" spans="1:10" ht="15">
      <c r="A374" s="138" t="s">
        <v>279</v>
      </c>
      <c r="B374" s="133"/>
      <c r="C374" s="139">
        <f>+G74</f>
        <v>1449.8000000000002</v>
      </c>
      <c r="D374" s="140">
        <f>+G85</f>
        <v>55</v>
      </c>
      <c r="E374" s="135"/>
      <c r="F374" s="141">
        <f>+C374*D374</f>
        <v>79739.00000000001</v>
      </c>
      <c r="H374" s="77"/>
      <c r="J374" s="77"/>
    </row>
    <row r="375" spans="1:10" ht="15">
      <c r="A375" s="93" t="s">
        <v>456</v>
      </c>
      <c r="B375" s="102"/>
      <c r="C375" s="101"/>
      <c r="D375" s="101"/>
      <c r="E375" s="100"/>
      <c r="F375" s="10"/>
      <c r="H375" s="77"/>
      <c r="J375" s="77"/>
    </row>
    <row r="376" spans="1:10" ht="15">
      <c r="A376" t="s">
        <v>268</v>
      </c>
      <c r="B376" s="75" t="s">
        <v>269</v>
      </c>
      <c r="C376" s="101">
        <f>+C95</f>
        <v>268.40000000000003</v>
      </c>
      <c r="D376" s="101">
        <f>+D95</f>
        <v>6</v>
      </c>
      <c r="E376" s="100"/>
      <c r="F376" s="10">
        <f aca="true" t="shared" si="17" ref="F376:F381">+C376*D376</f>
        <v>1610.4</v>
      </c>
      <c r="H376" s="77"/>
      <c r="J376" s="77"/>
    </row>
    <row r="377" spans="1:10" ht="15">
      <c r="A377" t="s">
        <v>268</v>
      </c>
      <c r="B377" s="78" t="s">
        <v>270</v>
      </c>
      <c r="C377" s="100">
        <f>+E96</f>
        <v>554.4000000000001</v>
      </c>
      <c r="D377" s="101">
        <f>+D376</f>
        <v>6</v>
      </c>
      <c r="E377" s="100"/>
      <c r="F377" s="10">
        <f t="shared" si="17"/>
        <v>3326.4000000000005</v>
      </c>
      <c r="H377" s="77"/>
      <c r="J377" s="77"/>
    </row>
    <row r="378" spans="1:10" ht="15">
      <c r="A378" t="s">
        <v>294</v>
      </c>
      <c r="B378" t="s">
        <v>273</v>
      </c>
      <c r="C378" s="101">
        <f>+C97</f>
        <v>165</v>
      </c>
      <c r="D378" s="101">
        <f>+D376</f>
        <v>6</v>
      </c>
      <c r="E378" s="100"/>
      <c r="F378" s="10">
        <f t="shared" si="17"/>
        <v>990</v>
      </c>
      <c r="H378" s="77"/>
      <c r="J378" s="77"/>
    </row>
    <row r="379" spans="1:10" ht="15">
      <c r="A379" t="s">
        <v>294</v>
      </c>
      <c r="B379" t="s">
        <v>274</v>
      </c>
      <c r="C379" s="101">
        <f>+E98</f>
        <v>132</v>
      </c>
      <c r="D379" s="101">
        <f>+D377</f>
        <v>6</v>
      </c>
      <c r="E379" s="100"/>
      <c r="F379" s="10">
        <f t="shared" si="17"/>
        <v>792</v>
      </c>
      <c r="H379" s="77"/>
      <c r="J379" s="77"/>
    </row>
    <row r="380" spans="1:10" ht="15">
      <c r="A380" t="s">
        <v>295</v>
      </c>
      <c r="B380" t="s">
        <v>277</v>
      </c>
      <c r="C380" s="101">
        <f>+C99</f>
        <v>198.00000000000003</v>
      </c>
      <c r="D380" s="101">
        <f>+D378</f>
        <v>6</v>
      </c>
      <c r="E380" s="100"/>
      <c r="F380" s="10">
        <f t="shared" si="17"/>
        <v>1188.0000000000002</v>
      </c>
      <c r="H380" s="77"/>
      <c r="J380" s="77"/>
    </row>
    <row r="381" spans="1:10" ht="15">
      <c r="A381" t="s">
        <v>295</v>
      </c>
      <c r="B381" t="s">
        <v>274</v>
      </c>
      <c r="C381" s="101">
        <f>+E100</f>
        <v>132</v>
      </c>
      <c r="D381" s="101">
        <f>+D379</f>
        <v>6</v>
      </c>
      <c r="E381" s="100"/>
      <c r="F381" s="10">
        <f t="shared" si="17"/>
        <v>792</v>
      </c>
      <c r="G381" s="10"/>
      <c r="H381" s="77"/>
      <c r="J381" s="77"/>
    </row>
    <row r="382" spans="1:10" ht="15">
      <c r="A382" s="138"/>
      <c r="B382" s="133"/>
      <c r="C382" s="139"/>
      <c r="D382" s="140"/>
      <c r="E382" s="135"/>
      <c r="F382" s="135"/>
      <c r="G382" s="141"/>
      <c r="H382" s="77"/>
      <c r="J382" s="77"/>
    </row>
    <row r="383" spans="1:10" ht="15">
      <c r="A383" t="s">
        <v>315</v>
      </c>
      <c r="B383" s="133"/>
      <c r="C383" s="30">
        <f aca="true" t="shared" si="18" ref="C383:D388">+C127</f>
        <v>4</v>
      </c>
      <c r="D383" s="76">
        <f t="shared" si="18"/>
        <v>100</v>
      </c>
      <c r="E383" s="135"/>
      <c r="F383" s="140">
        <f aca="true" t="shared" si="19" ref="F383:F388">+C383*D383</f>
        <v>400</v>
      </c>
      <c r="G383" s="141"/>
      <c r="H383" s="77"/>
      <c r="J383" s="77"/>
    </row>
    <row r="384" spans="1:10" ht="15">
      <c r="A384" t="s">
        <v>317</v>
      </c>
      <c r="B384" s="133"/>
      <c r="C384" s="30">
        <f t="shared" si="18"/>
        <v>4</v>
      </c>
      <c r="D384" s="76">
        <f t="shared" si="18"/>
        <v>16</v>
      </c>
      <c r="E384" s="135"/>
      <c r="F384" s="140">
        <f t="shared" si="19"/>
        <v>64</v>
      </c>
      <c r="G384" s="141"/>
      <c r="H384" s="77"/>
      <c r="J384" s="77"/>
    </row>
    <row r="385" spans="1:10" ht="15">
      <c r="A385" t="s">
        <v>309</v>
      </c>
      <c r="B385" s="133"/>
      <c r="C385" s="30">
        <f t="shared" si="18"/>
        <v>4</v>
      </c>
      <c r="D385" s="76">
        <f t="shared" si="18"/>
        <v>1</v>
      </c>
      <c r="E385" s="135"/>
      <c r="F385" s="140">
        <f t="shared" si="19"/>
        <v>4</v>
      </c>
      <c r="G385" s="141"/>
      <c r="H385" s="77"/>
      <c r="J385" s="77"/>
    </row>
    <row r="386" spans="1:10" ht="15">
      <c r="A386" t="s">
        <v>318</v>
      </c>
      <c r="B386" s="133"/>
      <c r="C386" s="30">
        <f t="shared" si="18"/>
        <v>1</v>
      </c>
      <c r="D386" s="76">
        <f t="shared" si="18"/>
        <v>350</v>
      </c>
      <c r="E386" s="135"/>
      <c r="F386" s="140">
        <f t="shared" si="19"/>
        <v>350</v>
      </c>
      <c r="G386" s="141"/>
      <c r="H386" s="77"/>
      <c r="J386" s="77"/>
    </row>
    <row r="387" spans="1:10" ht="15">
      <c r="A387" t="s">
        <v>320</v>
      </c>
      <c r="B387" s="133"/>
      <c r="C387" s="30">
        <f t="shared" si="18"/>
        <v>1</v>
      </c>
      <c r="D387" s="76">
        <f t="shared" si="18"/>
        <v>45</v>
      </c>
      <c r="E387" s="135"/>
      <c r="F387" s="140">
        <f t="shared" si="19"/>
        <v>45</v>
      </c>
      <c r="G387" s="95"/>
      <c r="H387" s="77"/>
      <c r="J387" s="77"/>
    </row>
    <row r="388" spans="1:10" ht="15">
      <c r="A388" t="s">
        <v>321</v>
      </c>
      <c r="B388" s="133"/>
      <c r="C388" s="30">
        <f t="shared" si="18"/>
        <v>1</v>
      </c>
      <c r="D388" s="76">
        <f t="shared" si="18"/>
        <v>1</v>
      </c>
      <c r="E388" s="135"/>
      <c r="F388" s="140">
        <f t="shared" si="19"/>
        <v>1</v>
      </c>
      <c r="G388" s="141">
        <f>SUM(F383:F388)/J27</f>
        <v>18</v>
      </c>
      <c r="H388" s="77"/>
      <c r="J388" s="77"/>
    </row>
    <row r="389" spans="2:10" ht="15">
      <c r="B389" s="133"/>
      <c r="C389" s="134"/>
      <c r="D389" s="133"/>
      <c r="E389" s="135"/>
      <c r="F389" s="135"/>
      <c r="G389" s="95"/>
      <c r="H389" s="77"/>
      <c r="J389" s="77"/>
    </row>
    <row r="390" spans="1:10" ht="15">
      <c r="A390" t="s">
        <v>350</v>
      </c>
      <c r="B390" s="105">
        <f aca="true" t="shared" si="20" ref="B390:D399">+B197</f>
        <v>750</v>
      </c>
      <c r="C390" s="105">
        <f t="shared" si="20"/>
        <v>1</v>
      </c>
      <c r="D390" s="11">
        <f t="shared" si="20"/>
        <v>0.174</v>
      </c>
      <c r="E390" s="135"/>
      <c r="F390" s="77">
        <f aca="true" t="shared" si="21" ref="F390:F405">+B390*C390*D390</f>
        <v>130.5</v>
      </c>
      <c r="G390" s="95"/>
      <c r="H390" s="77"/>
      <c r="J390" s="77"/>
    </row>
    <row r="391" spans="1:10" ht="15">
      <c r="A391" t="s">
        <v>351</v>
      </c>
      <c r="B391" s="105">
        <f t="shared" si="20"/>
        <v>750</v>
      </c>
      <c r="C391" s="105">
        <f t="shared" si="20"/>
        <v>1</v>
      </c>
      <c r="D391" s="11">
        <f t="shared" si="20"/>
        <v>0.13</v>
      </c>
      <c r="E391" s="135"/>
      <c r="F391" s="77">
        <f t="shared" si="21"/>
        <v>97.5</v>
      </c>
      <c r="G391" s="95"/>
      <c r="H391" s="77"/>
      <c r="J391" s="77"/>
    </row>
    <row r="392" spans="1:10" ht="15">
      <c r="A392" t="s">
        <v>352</v>
      </c>
      <c r="B392" s="105">
        <f t="shared" si="20"/>
        <v>9</v>
      </c>
      <c r="C392" s="105">
        <f t="shared" si="20"/>
        <v>4</v>
      </c>
      <c r="D392" s="11">
        <f t="shared" si="20"/>
        <v>0.5</v>
      </c>
      <c r="E392" s="135"/>
      <c r="F392" s="77">
        <f t="shared" si="21"/>
        <v>18</v>
      </c>
      <c r="G392" s="95"/>
      <c r="H392" s="77"/>
      <c r="J392" s="77"/>
    </row>
    <row r="393" spans="1:10" ht="15">
      <c r="A393" t="s">
        <v>353</v>
      </c>
      <c r="B393" s="105">
        <f t="shared" si="20"/>
        <v>9</v>
      </c>
      <c r="C393" s="105">
        <f t="shared" si="20"/>
        <v>4</v>
      </c>
      <c r="D393" s="11">
        <f t="shared" si="20"/>
        <v>0.15</v>
      </c>
      <c r="E393" s="135"/>
      <c r="F393" s="77">
        <f t="shared" si="21"/>
        <v>5.3999999999999995</v>
      </c>
      <c r="G393" s="95"/>
      <c r="H393" s="77"/>
      <c r="J393" s="77"/>
    </row>
    <row r="394" spans="1:10" ht="15">
      <c r="A394" t="s">
        <v>354</v>
      </c>
      <c r="B394" s="105">
        <f t="shared" si="20"/>
        <v>8</v>
      </c>
      <c r="C394" s="105">
        <f t="shared" si="20"/>
        <v>4</v>
      </c>
      <c r="D394" s="11">
        <f t="shared" si="20"/>
        <v>10</v>
      </c>
      <c r="E394" s="135"/>
      <c r="F394" s="77">
        <f t="shared" si="21"/>
        <v>320</v>
      </c>
      <c r="G394" s="95"/>
      <c r="H394" s="77"/>
      <c r="J394" s="77"/>
    </row>
    <row r="395" spans="1:10" ht="15">
      <c r="A395" t="s">
        <v>355</v>
      </c>
      <c r="B395" s="105">
        <f t="shared" si="20"/>
        <v>8</v>
      </c>
      <c r="C395" s="105">
        <f t="shared" si="20"/>
        <v>4</v>
      </c>
      <c r="D395" s="11">
        <f t="shared" si="20"/>
        <v>0.5</v>
      </c>
      <c r="E395" s="135"/>
      <c r="F395" s="77">
        <f t="shared" si="21"/>
        <v>16</v>
      </c>
      <c r="G395" s="95"/>
      <c r="H395" s="77"/>
      <c r="J395" s="77"/>
    </row>
    <row r="396" spans="1:10" ht="15">
      <c r="A396" t="s">
        <v>356</v>
      </c>
      <c r="B396" s="105">
        <f t="shared" si="20"/>
        <v>8</v>
      </c>
      <c r="C396" s="105">
        <f t="shared" si="20"/>
        <v>4</v>
      </c>
      <c r="D396" s="11">
        <f t="shared" si="20"/>
        <v>0.15</v>
      </c>
      <c r="E396" s="135"/>
      <c r="F396" s="77">
        <f t="shared" si="21"/>
        <v>4.8</v>
      </c>
      <c r="G396" s="95"/>
      <c r="H396" s="77"/>
      <c r="J396" s="77"/>
    </row>
    <row r="397" spans="1:10" ht="15">
      <c r="A397" t="s">
        <v>336</v>
      </c>
      <c r="B397" s="105">
        <f>+B392</f>
        <v>9</v>
      </c>
      <c r="C397" s="105">
        <f t="shared" si="20"/>
        <v>4</v>
      </c>
      <c r="D397" s="11">
        <f t="shared" si="20"/>
        <v>0.6</v>
      </c>
      <c r="E397" s="135"/>
      <c r="F397" s="77">
        <f t="shared" si="21"/>
        <v>21.599999999999998</v>
      </c>
      <c r="G397" s="95"/>
      <c r="H397" s="77"/>
      <c r="J397" s="77"/>
    </row>
    <row r="398" spans="1:10" ht="15">
      <c r="A398" t="s">
        <v>337</v>
      </c>
      <c r="B398" s="105">
        <f>+B394</f>
        <v>8</v>
      </c>
      <c r="C398" s="105">
        <f t="shared" si="20"/>
        <v>4</v>
      </c>
      <c r="D398" s="11">
        <f t="shared" si="20"/>
        <v>1</v>
      </c>
      <c r="E398" s="135"/>
      <c r="F398" s="77">
        <f t="shared" si="21"/>
        <v>32</v>
      </c>
      <c r="G398" s="95"/>
      <c r="H398" s="77"/>
      <c r="J398" s="77"/>
    </row>
    <row r="399" spans="1:10" ht="15">
      <c r="A399" t="s">
        <v>338</v>
      </c>
      <c r="B399" s="105">
        <f>+B395</f>
        <v>8</v>
      </c>
      <c r="C399" s="105">
        <f t="shared" si="20"/>
        <v>4</v>
      </c>
      <c r="D399" s="11">
        <f t="shared" si="20"/>
        <v>0.8</v>
      </c>
      <c r="E399" s="135"/>
      <c r="F399" s="77">
        <f t="shared" si="21"/>
        <v>25.6</v>
      </c>
      <c r="G399" s="95"/>
      <c r="H399" s="77"/>
      <c r="J399" s="77"/>
    </row>
    <row r="400" spans="1:10" ht="15">
      <c r="A400" t="s">
        <v>357</v>
      </c>
      <c r="B400">
        <v>1</v>
      </c>
      <c r="C400">
        <v>1</v>
      </c>
      <c r="D400" s="142">
        <f>+D207</f>
        <v>40</v>
      </c>
      <c r="E400" s="135"/>
      <c r="F400" s="77">
        <f t="shared" si="21"/>
        <v>40</v>
      </c>
      <c r="G400" s="95"/>
      <c r="H400" s="77"/>
      <c r="J400" s="77"/>
    </row>
    <row r="401" spans="1:10" ht="15">
      <c r="A401" t="s">
        <v>340</v>
      </c>
      <c r="B401">
        <v>6</v>
      </c>
      <c r="C401">
        <v>1</v>
      </c>
      <c r="D401" s="142">
        <f>+D208</f>
        <v>5.25</v>
      </c>
      <c r="E401" s="135"/>
      <c r="F401" s="77">
        <f t="shared" si="21"/>
        <v>31.5</v>
      </c>
      <c r="G401" s="95"/>
      <c r="H401" s="77"/>
      <c r="J401" s="77"/>
    </row>
    <row r="402" spans="1:10" ht="15">
      <c r="A402" t="s">
        <v>341</v>
      </c>
      <c r="B402">
        <v>1</v>
      </c>
      <c r="C402">
        <v>1</v>
      </c>
      <c r="D402" s="142">
        <f>+D209</f>
        <v>52</v>
      </c>
      <c r="E402" s="135"/>
      <c r="F402" s="77">
        <f t="shared" si="21"/>
        <v>52</v>
      </c>
      <c r="G402" s="95"/>
      <c r="H402" s="77"/>
      <c r="J402" s="77"/>
    </row>
    <row r="403" spans="1:10" ht="15">
      <c r="A403" t="s">
        <v>342</v>
      </c>
      <c r="B403">
        <v>1</v>
      </c>
      <c r="C403">
        <v>1</v>
      </c>
      <c r="D403" s="142">
        <f>+D210</f>
        <v>2.1</v>
      </c>
      <c r="E403" s="135"/>
      <c r="F403" s="77">
        <f t="shared" si="21"/>
        <v>2.1</v>
      </c>
      <c r="G403" s="95"/>
      <c r="H403" s="77"/>
      <c r="J403" s="77"/>
    </row>
    <row r="404" spans="1:10" ht="15">
      <c r="A404" t="s">
        <v>358</v>
      </c>
      <c r="B404" s="105">
        <f aca="true" t="shared" si="22" ref="B404:D405">+B211</f>
        <v>5</v>
      </c>
      <c r="C404" s="105">
        <f t="shared" si="22"/>
        <v>4</v>
      </c>
      <c r="D404" s="11">
        <f t="shared" si="22"/>
        <v>12.5</v>
      </c>
      <c r="E404" s="135"/>
      <c r="F404" s="77">
        <f t="shared" si="21"/>
        <v>250</v>
      </c>
      <c r="G404" s="95"/>
      <c r="H404" s="77"/>
      <c r="J404" s="77"/>
    </row>
    <row r="405" spans="1:10" ht="15">
      <c r="A405" t="s">
        <v>359</v>
      </c>
      <c r="B405" s="105">
        <f t="shared" si="22"/>
        <v>4</v>
      </c>
      <c r="C405" s="105">
        <f t="shared" si="22"/>
        <v>4</v>
      </c>
      <c r="D405" s="11">
        <f>+D212</f>
        <v>30</v>
      </c>
      <c r="E405" s="135"/>
      <c r="F405" s="77">
        <f t="shared" si="21"/>
        <v>480</v>
      </c>
      <c r="G405" s="95">
        <f>SUM(F390:F405)/J27</f>
        <v>31.8125</v>
      </c>
      <c r="H405" s="77">
        <f>SUM(F390:F405)</f>
        <v>1527</v>
      </c>
      <c r="J405" s="77"/>
    </row>
    <row r="406" spans="2:10" ht="15">
      <c r="B406" s="105"/>
      <c r="C406" s="105"/>
      <c r="D406" s="11"/>
      <c r="E406" s="135"/>
      <c r="F406" s="77"/>
      <c r="G406" s="95"/>
      <c r="H406" s="77"/>
      <c r="J406" s="77"/>
    </row>
    <row r="407" spans="1:10" ht="15">
      <c r="A407" t="s">
        <v>385</v>
      </c>
      <c r="B407" s="105">
        <v>5</v>
      </c>
      <c r="C407">
        <v>4</v>
      </c>
      <c r="D407" s="76">
        <f>+D244</f>
        <v>4.6</v>
      </c>
      <c r="E407" s="135"/>
      <c r="F407" s="77">
        <f aca="true" t="shared" si="23" ref="F407:F416">+B407*C407*D407</f>
        <v>92</v>
      </c>
      <c r="G407" s="95"/>
      <c r="H407" s="77"/>
      <c r="J407" s="77"/>
    </row>
    <row r="408" spans="1:10" ht="15">
      <c r="A408" t="s">
        <v>386</v>
      </c>
      <c r="B408" s="105">
        <v>6</v>
      </c>
      <c r="C408">
        <f>+C407</f>
        <v>4</v>
      </c>
      <c r="D408" s="76">
        <f>+D245</f>
        <v>1</v>
      </c>
      <c r="E408" s="135"/>
      <c r="F408" s="77">
        <f t="shared" si="23"/>
        <v>24</v>
      </c>
      <c r="G408" s="95"/>
      <c r="H408" s="77"/>
      <c r="J408" s="77"/>
    </row>
    <row r="409" spans="1:10" ht="15">
      <c r="A409" t="s">
        <v>387</v>
      </c>
      <c r="B409" s="105">
        <v>1</v>
      </c>
      <c r="C409">
        <f>+C408</f>
        <v>4</v>
      </c>
      <c r="D409" s="76">
        <f>+D246</f>
        <v>10</v>
      </c>
      <c r="E409" s="135"/>
      <c r="F409" s="77">
        <f t="shared" si="23"/>
        <v>40</v>
      </c>
      <c r="G409" s="95"/>
      <c r="H409" s="77"/>
      <c r="J409" s="77"/>
    </row>
    <row r="410" spans="1:10" ht="15">
      <c r="A410" t="s">
        <v>388</v>
      </c>
      <c r="B410" s="105">
        <v>1</v>
      </c>
      <c r="C410">
        <f>+C409</f>
        <v>4</v>
      </c>
      <c r="D410" s="76">
        <f>+D247</f>
        <v>5</v>
      </c>
      <c r="E410" s="135"/>
      <c r="F410" s="77">
        <f t="shared" si="23"/>
        <v>20</v>
      </c>
      <c r="G410" s="95"/>
      <c r="H410" s="77"/>
      <c r="J410" s="77"/>
    </row>
    <row r="411" spans="1:10" ht="15">
      <c r="A411" t="s">
        <v>389</v>
      </c>
      <c r="B411" s="105">
        <v>2</v>
      </c>
      <c r="C411">
        <v>4</v>
      </c>
      <c r="D411" s="76">
        <f>+D248</f>
        <v>5</v>
      </c>
      <c r="E411" s="135"/>
      <c r="F411" s="77">
        <f t="shared" si="23"/>
        <v>40</v>
      </c>
      <c r="G411" s="95"/>
      <c r="H411" s="77"/>
      <c r="J411" s="77"/>
    </row>
    <row r="412" spans="1:10" ht="15">
      <c r="A412" t="s">
        <v>390</v>
      </c>
      <c r="B412" s="105">
        <v>1</v>
      </c>
      <c r="C412">
        <v>4</v>
      </c>
      <c r="D412" s="76">
        <v>50</v>
      </c>
      <c r="E412" s="135"/>
      <c r="F412" s="77">
        <f t="shared" si="23"/>
        <v>200</v>
      </c>
      <c r="G412" s="95"/>
      <c r="H412" s="77"/>
      <c r="J412" s="77"/>
    </row>
    <row r="413" spans="1:10" ht="15">
      <c r="A413" t="s">
        <v>391</v>
      </c>
      <c r="B413">
        <v>1</v>
      </c>
      <c r="C413">
        <v>4</v>
      </c>
      <c r="D413" s="76">
        <v>25</v>
      </c>
      <c r="E413" s="135"/>
      <c r="F413" s="77">
        <f t="shared" si="23"/>
        <v>100</v>
      </c>
      <c r="G413" s="95"/>
      <c r="H413" s="77"/>
      <c r="J413" s="77"/>
    </row>
    <row r="414" spans="1:10" ht="15">
      <c r="A414" t="s">
        <v>392</v>
      </c>
      <c r="B414">
        <v>1</v>
      </c>
      <c r="C414">
        <v>4</v>
      </c>
      <c r="D414" s="76">
        <f>+D251</f>
        <v>1.25</v>
      </c>
      <c r="E414" s="135"/>
      <c r="F414" s="77">
        <f t="shared" si="23"/>
        <v>5</v>
      </c>
      <c r="G414" s="95"/>
      <c r="H414" s="77"/>
      <c r="J414" s="77"/>
    </row>
    <row r="415" spans="1:10" ht="15">
      <c r="A415" t="s">
        <v>393</v>
      </c>
      <c r="B415">
        <v>20</v>
      </c>
      <c r="C415">
        <v>1</v>
      </c>
      <c r="D415" s="10">
        <f>+D407</f>
        <v>4.6</v>
      </c>
      <c r="E415" s="135"/>
      <c r="F415" s="77">
        <f t="shared" si="23"/>
        <v>92</v>
      </c>
      <c r="G415" s="95"/>
      <c r="H415" s="77"/>
      <c r="J415" s="77"/>
    </row>
    <row r="416" spans="1:10" ht="15">
      <c r="A416" t="s">
        <v>394</v>
      </c>
      <c r="B416">
        <v>3</v>
      </c>
      <c r="C416">
        <v>1</v>
      </c>
      <c r="D416" s="10">
        <f>+D237</f>
        <v>50</v>
      </c>
      <c r="E416" s="135"/>
      <c r="F416" s="77">
        <f t="shared" si="23"/>
        <v>150</v>
      </c>
      <c r="G416" s="95"/>
      <c r="H416" s="77"/>
      <c r="J416" s="77"/>
    </row>
    <row r="417" spans="2:10" ht="15">
      <c r="B417" s="105"/>
      <c r="C417" s="105"/>
      <c r="D417" s="11"/>
      <c r="E417" s="135"/>
      <c r="F417" s="77"/>
      <c r="G417" s="95"/>
      <c r="H417" s="77"/>
      <c r="J417" s="77"/>
    </row>
    <row r="418" spans="1:10" ht="15">
      <c r="A418" s="120" t="s">
        <v>419</v>
      </c>
      <c r="B418" s="105">
        <f>(6*126)+(6*30)+(6*25)</f>
        <v>1086</v>
      </c>
      <c r="C418">
        <v>4</v>
      </c>
      <c r="D418" s="11">
        <f>+D270</f>
        <v>1</v>
      </c>
      <c r="E418" s="135"/>
      <c r="F418" s="77">
        <f>+B418*C418*D418</f>
        <v>4344</v>
      </c>
      <c r="G418" s="95"/>
      <c r="H418" s="77"/>
      <c r="J418" s="77"/>
    </row>
    <row r="419" spans="1:10" ht="15">
      <c r="A419" t="s">
        <v>420</v>
      </c>
      <c r="B419" s="105">
        <v>2</v>
      </c>
      <c r="C419">
        <f>+C418</f>
        <v>4</v>
      </c>
      <c r="D419" s="11">
        <f>+D271</f>
        <v>125</v>
      </c>
      <c r="E419" s="135"/>
      <c r="F419" s="77">
        <f>+B419*C419*D419</f>
        <v>1000</v>
      </c>
      <c r="G419" s="95"/>
      <c r="H419" s="77"/>
      <c r="J419" s="77"/>
    </row>
    <row r="420" spans="1:10" ht="15">
      <c r="A420" t="s">
        <v>421</v>
      </c>
      <c r="B420" s="105">
        <v>10</v>
      </c>
      <c r="C420">
        <f>+C419</f>
        <v>4</v>
      </c>
      <c r="D420" s="11">
        <f>+D272</f>
        <v>6.2</v>
      </c>
      <c r="E420" s="135"/>
      <c r="F420" s="77">
        <f>+B420*C420*D420</f>
        <v>248</v>
      </c>
      <c r="G420" s="95"/>
      <c r="H420" s="77"/>
      <c r="J420" s="77"/>
    </row>
    <row r="421" spans="2:10" ht="15">
      <c r="B421" s="105"/>
      <c r="C421" s="105"/>
      <c r="D421" s="11"/>
      <c r="E421" s="135"/>
      <c r="F421" s="77"/>
      <c r="G421" s="95"/>
      <c r="H421" s="77"/>
      <c r="J421" s="77"/>
    </row>
    <row r="422" spans="1:10" ht="15">
      <c r="A422" t="s">
        <v>424</v>
      </c>
      <c r="B422" s="105">
        <f>8*5</f>
        <v>40</v>
      </c>
      <c r="C422">
        <v>1</v>
      </c>
      <c r="D422" s="11">
        <f>+D420</f>
        <v>6.2</v>
      </c>
      <c r="E422" s="135"/>
      <c r="F422" s="77">
        <f>+B422*C422*D422</f>
        <v>248</v>
      </c>
      <c r="G422" s="95"/>
      <c r="H422" s="77"/>
      <c r="J422" s="77"/>
    </row>
    <row r="423" spans="1:10" ht="15">
      <c r="A423" t="s">
        <v>425</v>
      </c>
      <c r="B423" s="105">
        <v>1</v>
      </c>
      <c r="C423">
        <v>1</v>
      </c>
      <c r="D423" s="11">
        <f>+D288</f>
        <v>2000</v>
      </c>
      <c r="E423" s="135"/>
      <c r="F423" s="77">
        <f>+B423*C423*D423</f>
        <v>2000</v>
      </c>
      <c r="G423" s="95"/>
      <c r="H423" s="77"/>
      <c r="J423" s="77"/>
    </row>
    <row r="424" spans="2:10" ht="15">
      <c r="B424" s="105"/>
      <c r="C424" s="105"/>
      <c r="D424" s="11"/>
      <c r="E424" s="135"/>
      <c r="F424" s="77"/>
      <c r="G424" s="95"/>
      <c r="H424" s="77"/>
      <c r="J424" s="77"/>
    </row>
    <row r="425" spans="1:10" ht="15">
      <c r="A425" t="s">
        <v>364</v>
      </c>
      <c r="B425" s="121">
        <v>1</v>
      </c>
      <c r="C425">
        <v>1</v>
      </c>
      <c r="D425" s="76">
        <f>4375*0.8</f>
        <v>3500</v>
      </c>
      <c r="E425" s="135"/>
      <c r="F425" s="77">
        <f>+B425*C425*D425</f>
        <v>3500</v>
      </c>
      <c r="G425" s="95"/>
      <c r="H425" s="77"/>
      <c r="J425" s="77"/>
    </row>
    <row r="426" spans="5:10" ht="15">
      <c r="E426" s="135"/>
      <c r="F426" s="77"/>
      <c r="G426" s="95"/>
      <c r="H426" s="77"/>
      <c r="J426" s="77"/>
    </row>
    <row r="427" spans="1:10" ht="15">
      <c r="A427" s="93" t="s">
        <v>427</v>
      </c>
      <c r="B427" s="98"/>
      <c r="C427" s="97"/>
      <c r="D427" s="101"/>
      <c r="E427" s="100"/>
      <c r="F427" s="100">
        <v>25000</v>
      </c>
      <c r="H427" s="77"/>
      <c r="J427" s="77"/>
    </row>
    <row r="428" spans="1:10" ht="15">
      <c r="A428" s="97" t="s">
        <v>428</v>
      </c>
      <c r="B428" s="98"/>
      <c r="C428" s="97"/>
      <c r="D428" s="101"/>
      <c r="E428" s="100"/>
      <c r="F428" s="100"/>
      <c r="G428" s="100" t="s">
        <v>80</v>
      </c>
      <c r="H428" s="77"/>
      <c r="J428" s="77"/>
    </row>
    <row r="429" spans="1:10" ht="15">
      <c r="A429" s="97" t="s">
        <v>429</v>
      </c>
      <c r="B429" s="98"/>
      <c r="C429" s="97"/>
      <c r="D429" s="101"/>
      <c r="E429" s="100"/>
      <c r="F429" s="100"/>
      <c r="G429" s="100"/>
      <c r="H429" s="77"/>
      <c r="J429" s="77"/>
    </row>
    <row r="430" spans="1:10" ht="15">
      <c r="A430" s="97" t="s">
        <v>430</v>
      </c>
      <c r="B430" s="98"/>
      <c r="C430" s="97"/>
      <c r="D430" s="101"/>
      <c r="E430" s="100"/>
      <c r="F430" s="100"/>
      <c r="G430" s="100"/>
      <c r="H430" s="77"/>
      <c r="J430" s="77"/>
    </row>
    <row r="431" spans="1:10" ht="15">
      <c r="A431" s="97" t="s">
        <v>431</v>
      </c>
      <c r="B431" s="98"/>
      <c r="C431" s="97"/>
      <c r="D431" s="101"/>
      <c r="E431" s="100"/>
      <c r="F431" s="100"/>
      <c r="G431" s="100"/>
      <c r="H431" s="77"/>
      <c r="J431" s="77"/>
    </row>
    <row r="432" spans="5:10" ht="15">
      <c r="E432" s="135"/>
      <c r="F432" s="77"/>
      <c r="G432" s="95"/>
      <c r="H432" s="77"/>
      <c r="J432" s="77"/>
    </row>
    <row r="433" spans="1:10" ht="15">
      <c r="A433" s="2" t="s">
        <v>433</v>
      </c>
      <c r="B433" s="105"/>
      <c r="D433" s="76"/>
      <c r="E433" s="10"/>
      <c r="F433" s="10"/>
      <c r="G433" s="113"/>
      <c r="H433" s="77"/>
      <c r="J433" s="77"/>
    </row>
    <row r="434" spans="1:10" ht="15">
      <c r="A434" t="s">
        <v>434</v>
      </c>
      <c r="B434" s="105"/>
      <c r="C434">
        <f aca="true" t="shared" si="24" ref="C434:D449">+C301</f>
        <v>4</v>
      </c>
      <c r="D434" s="77">
        <f t="shared" si="24"/>
        <v>5000</v>
      </c>
      <c r="E434" s="10"/>
      <c r="F434" s="10">
        <f aca="true" t="shared" si="25" ref="F434:F444">+C434*D434</f>
        <v>20000</v>
      </c>
      <c r="H434" s="77"/>
      <c r="J434" s="77"/>
    </row>
    <row r="435" spans="1:10" ht="15">
      <c r="A435" t="s">
        <v>435</v>
      </c>
      <c r="B435" s="105"/>
      <c r="C435">
        <f t="shared" si="24"/>
        <v>4</v>
      </c>
      <c r="D435" s="77">
        <f t="shared" si="24"/>
        <v>1500</v>
      </c>
      <c r="E435" s="10"/>
      <c r="F435" s="10">
        <f t="shared" si="25"/>
        <v>6000</v>
      </c>
      <c r="H435" s="77"/>
      <c r="J435" s="77"/>
    </row>
    <row r="436" spans="1:10" ht="15">
      <c r="A436" t="s">
        <v>436</v>
      </c>
      <c r="B436" s="105"/>
      <c r="C436">
        <f t="shared" si="24"/>
        <v>1</v>
      </c>
      <c r="D436" s="77">
        <f t="shared" si="24"/>
        <v>25000</v>
      </c>
      <c r="E436" s="10"/>
      <c r="F436" s="10">
        <f t="shared" si="25"/>
        <v>25000</v>
      </c>
      <c r="H436" s="77"/>
      <c r="J436" s="77"/>
    </row>
    <row r="437" spans="1:10" ht="15">
      <c r="A437" t="s">
        <v>437</v>
      </c>
      <c r="B437" s="105"/>
      <c r="C437">
        <f t="shared" si="24"/>
        <v>4</v>
      </c>
      <c r="D437" s="77">
        <f t="shared" si="24"/>
        <v>5000</v>
      </c>
      <c r="E437" s="10"/>
      <c r="F437" s="10">
        <f t="shared" si="25"/>
        <v>20000</v>
      </c>
      <c r="H437" s="77"/>
      <c r="J437" s="77"/>
    </row>
    <row r="438" spans="1:10" ht="15">
      <c r="A438" t="s">
        <v>438</v>
      </c>
      <c r="B438" s="10">
        <f>61*126</f>
        <v>7686</v>
      </c>
      <c r="C438">
        <f t="shared" si="24"/>
        <v>277.20000000000005</v>
      </c>
      <c r="D438" s="77">
        <f t="shared" si="24"/>
        <v>28</v>
      </c>
      <c r="E438" s="10"/>
      <c r="F438" s="10">
        <f t="shared" si="25"/>
        <v>7761.600000000001</v>
      </c>
      <c r="H438" s="77"/>
      <c r="J438" s="77"/>
    </row>
    <row r="439" spans="1:10" ht="15">
      <c r="A439" t="s">
        <v>439</v>
      </c>
      <c r="B439" s="105">
        <v>28</v>
      </c>
      <c r="C439">
        <f t="shared" si="24"/>
        <v>0</v>
      </c>
      <c r="D439" s="77">
        <f t="shared" si="24"/>
        <v>0</v>
      </c>
      <c r="E439" s="10"/>
      <c r="F439" s="10">
        <f t="shared" si="25"/>
        <v>0</v>
      </c>
      <c r="H439" s="77"/>
      <c r="J439" s="77"/>
    </row>
    <row r="440" spans="1:10" ht="15">
      <c r="A440" t="s">
        <v>440</v>
      </c>
      <c r="B440" s="105"/>
      <c r="C440">
        <f t="shared" si="24"/>
        <v>1</v>
      </c>
      <c r="D440" s="77">
        <f t="shared" si="24"/>
        <v>500</v>
      </c>
      <c r="E440" s="10"/>
      <c r="F440" s="10">
        <f t="shared" si="25"/>
        <v>500</v>
      </c>
      <c r="H440" s="77"/>
      <c r="J440" s="77"/>
    </row>
    <row r="441" spans="1:10" ht="15">
      <c r="A441" t="s">
        <v>441</v>
      </c>
      <c r="B441" s="105"/>
      <c r="C441">
        <f t="shared" si="24"/>
        <v>1</v>
      </c>
      <c r="D441" s="77">
        <f t="shared" si="24"/>
        <v>5000</v>
      </c>
      <c r="E441" s="10"/>
      <c r="F441" s="10">
        <f t="shared" si="25"/>
        <v>5000</v>
      </c>
      <c r="H441" s="77"/>
      <c r="J441" s="77"/>
    </row>
    <row r="442" spans="1:10" ht="15">
      <c r="A442" t="s">
        <v>442</v>
      </c>
      <c r="B442" s="105"/>
      <c r="C442">
        <f t="shared" si="24"/>
        <v>1</v>
      </c>
      <c r="D442" s="77">
        <f t="shared" si="24"/>
        <v>500</v>
      </c>
      <c r="E442" s="10"/>
      <c r="F442" s="10">
        <f t="shared" si="25"/>
        <v>500</v>
      </c>
      <c r="H442" s="77"/>
      <c r="J442" s="77"/>
    </row>
    <row r="443" spans="1:10" ht="15">
      <c r="A443" t="s">
        <v>443</v>
      </c>
      <c r="B443" s="105"/>
      <c r="C443">
        <f t="shared" si="24"/>
        <v>2</v>
      </c>
      <c r="D443" s="77">
        <f t="shared" si="24"/>
        <v>425</v>
      </c>
      <c r="E443" s="10"/>
      <c r="F443" s="10">
        <f t="shared" si="25"/>
        <v>850</v>
      </c>
      <c r="H443" s="77"/>
      <c r="J443" s="77"/>
    </row>
    <row r="444" spans="1:10" ht="15">
      <c r="A444" t="s">
        <v>444</v>
      </c>
      <c r="B444" s="105"/>
      <c r="C444">
        <f t="shared" si="24"/>
        <v>48</v>
      </c>
      <c r="D444" s="77">
        <f t="shared" si="24"/>
        <v>750</v>
      </c>
      <c r="E444" s="10"/>
      <c r="F444" s="10">
        <f t="shared" si="25"/>
        <v>36000</v>
      </c>
      <c r="H444" s="77"/>
      <c r="J444" s="77"/>
    </row>
    <row r="445" spans="1:10" ht="15">
      <c r="A445" t="s">
        <v>445</v>
      </c>
      <c r="B445" s="105"/>
      <c r="C445">
        <f t="shared" si="24"/>
        <v>1</v>
      </c>
      <c r="D445" s="77">
        <f t="shared" si="24"/>
        <v>10000</v>
      </c>
      <c r="E445" s="10"/>
      <c r="F445" s="10">
        <v>10000</v>
      </c>
      <c r="H445" s="77"/>
      <c r="J445" s="77"/>
    </row>
    <row r="446" spans="1:10" ht="15">
      <c r="A446" t="s">
        <v>446</v>
      </c>
      <c r="B446" s="105"/>
      <c r="C446" s="10">
        <f t="shared" si="24"/>
        <v>0.2293801652892562</v>
      </c>
      <c r="D446" s="77">
        <f t="shared" si="24"/>
        <v>50000</v>
      </c>
      <c r="E446" s="10"/>
      <c r="F446" s="10">
        <f aca="true" t="shared" si="26" ref="F446:F453">+C446*D446</f>
        <v>11469.00826446281</v>
      </c>
      <c r="H446" s="77"/>
      <c r="J446" s="77"/>
    </row>
    <row r="447" spans="1:10" ht="15">
      <c r="A447" t="s">
        <v>447</v>
      </c>
      <c r="B447" s="105"/>
      <c r="C447">
        <f t="shared" si="24"/>
        <v>4</v>
      </c>
      <c r="D447" s="77">
        <f t="shared" si="24"/>
        <v>1000</v>
      </c>
      <c r="E447" s="10"/>
      <c r="F447" s="10">
        <f t="shared" si="26"/>
        <v>4000</v>
      </c>
      <c r="H447" s="77"/>
      <c r="J447" s="77"/>
    </row>
    <row r="448" spans="1:10" ht="15">
      <c r="A448" t="s">
        <v>448</v>
      </c>
      <c r="B448" s="105"/>
      <c r="C448">
        <f t="shared" si="24"/>
        <v>2</v>
      </c>
      <c r="D448" s="77">
        <f t="shared" si="24"/>
        <v>425</v>
      </c>
      <c r="E448" s="10"/>
      <c r="F448" s="10">
        <f t="shared" si="26"/>
        <v>850</v>
      </c>
      <c r="H448" s="77"/>
      <c r="J448" s="77"/>
    </row>
    <row r="449" spans="1:10" ht="15">
      <c r="A449" t="s">
        <v>449</v>
      </c>
      <c r="B449" s="105"/>
      <c r="C449">
        <f t="shared" si="24"/>
        <v>1</v>
      </c>
      <c r="D449" s="77">
        <f t="shared" si="24"/>
        <v>2500</v>
      </c>
      <c r="E449" s="10"/>
      <c r="F449" s="10">
        <f t="shared" si="26"/>
        <v>2500</v>
      </c>
      <c r="H449" s="77"/>
      <c r="J449" s="77"/>
    </row>
    <row r="450" spans="1:10" ht="15">
      <c r="A450" t="s">
        <v>450</v>
      </c>
      <c r="B450" s="105"/>
      <c r="C450">
        <f aca="true" t="shared" si="27" ref="C450:D453">+C317</f>
        <v>2</v>
      </c>
      <c r="D450" s="77">
        <f t="shared" si="27"/>
        <v>260</v>
      </c>
      <c r="E450" s="10"/>
      <c r="F450" s="10">
        <f t="shared" si="26"/>
        <v>520</v>
      </c>
      <c r="H450" s="77"/>
      <c r="J450" s="77"/>
    </row>
    <row r="451" spans="1:10" ht="15">
      <c r="A451" t="s">
        <v>451</v>
      </c>
      <c r="B451" s="105"/>
      <c r="C451">
        <f t="shared" si="27"/>
        <v>2</v>
      </c>
      <c r="D451" s="77">
        <f t="shared" si="27"/>
        <v>500</v>
      </c>
      <c r="E451" s="10"/>
      <c r="F451" s="10">
        <f t="shared" si="26"/>
        <v>1000</v>
      </c>
      <c r="H451" s="77"/>
      <c r="J451" s="77"/>
    </row>
    <row r="452" spans="1:10" ht="15">
      <c r="A452" t="s">
        <v>452</v>
      </c>
      <c r="B452" s="105"/>
      <c r="C452">
        <f t="shared" si="27"/>
        <v>1</v>
      </c>
      <c r="D452" s="77">
        <f t="shared" si="27"/>
        <v>5000</v>
      </c>
      <c r="E452" s="10"/>
      <c r="F452" s="10">
        <f t="shared" si="26"/>
        <v>5000</v>
      </c>
      <c r="G452" s="32" t="s">
        <v>473</v>
      </c>
      <c r="H452" s="157" t="s">
        <v>474</v>
      </c>
      <c r="J452" s="77"/>
    </row>
    <row r="453" spans="1:10" ht="15">
      <c r="A453" t="s">
        <v>196</v>
      </c>
      <c r="B453" s="105"/>
      <c r="C453">
        <f t="shared" si="27"/>
        <v>1</v>
      </c>
      <c r="D453" s="77">
        <f t="shared" si="27"/>
        <v>26655.09</v>
      </c>
      <c r="E453" s="10"/>
      <c r="F453" s="10">
        <f t="shared" si="26"/>
        <v>26655.09</v>
      </c>
      <c r="G453" s="44">
        <f>SUM(F374:F453)</f>
        <v>311537.49826446286</v>
      </c>
      <c r="H453" s="156">
        <f>+G453/48</f>
        <v>6490.364547176309</v>
      </c>
      <c r="J453" s="77"/>
    </row>
    <row r="454" spans="2:10" ht="15">
      <c r="B454" s="105"/>
      <c r="D454" s="77"/>
      <c r="E454" s="10"/>
      <c r="F454" s="10"/>
      <c r="G454" s="10"/>
      <c r="H454" s="77"/>
      <c r="J454" s="77"/>
    </row>
    <row r="455" spans="1:10" ht="15">
      <c r="A455" s="2" t="s">
        <v>457</v>
      </c>
      <c r="B455" s="105"/>
      <c r="D455" s="77"/>
      <c r="E455" s="10"/>
      <c r="F455" s="10"/>
      <c r="G455" s="10"/>
      <c r="H455" s="77"/>
      <c r="J455" s="77"/>
    </row>
    <row r="456" spans="2:10" ht="15">
      <c r="B456" s="32" t="s">
        <v>458</v>
      </c>
      <c r="C456" s="32" t="s">
        <v>459</v>
      </c>
      <c r="D456" s="32" t="s">
        <v>460</v>
      </c>
      <c r="E456" s="32" t="s">
        <v>461</v>
      </c>
      <c r="F456" s="143" t="s">
        <v>462</v>
      </c>
      <c r="G456" s="115" t="s">
        <v>463</v>
      </c>
      <c r="H456" s="143" t="s">
        <v>464</v>
      </c>
      <c r="J456" s="77"/>
    </row>
    <row r="457" spans="1:10" ht="15">
      <c r="A457" t="s">
        <v>465</v>
      </c>
      <c r="B457" s="105">
        <f>20*20</f>
        <v>400</v>
      </c>
      <c r="C457">
        <f>+J23</f>
        <v>2</v>
      </c>
      <c r="D457">
        <f>+B457*C457</f>
        <v>800</v>
      </c>
      <c r="E457" s="144">
        <f>+D457/D461</f>
        <v>0.030534351145038167</v>
      </c>
      <c r="F457" s="77">
        <f>+G463</f>
        <v>311537.49826446286</v>
      </c>
      <c r="G457" s="10">
        <f>+E457*F457</f>
        <v>9512.595366853828</v>
      </c>
      <c r="H457" s="77">
        <f>+G457/C457</f>
        <v>4756.297683426914</v>
      </c>
      <c r="J457" s="77"/>
    </row>
    <row r="458" spans="1:10" ht="15">
      <c r="A458" t="s">
        <v>466</v>
      </c>
      <c r="B458" s="105">
        <f>20*25</f>
        <v>500</v>
      </c>
      <c r="C458">
        <f>+J24</f>
        <v>22</v>
      </c>
      <c r="D458">
        <f>+B458*C458</f>
        <v>11000</v>
      </c>
      <c r="E458" s="144">
        <f>+D458/D461</f>
        <v>0.4198473282442748</v>
      </c>
      <c r="F458" s="77">
        <f>+F457</f>
        <v>311537.49826446286</v>
      </c>
      <c r="G458" s="10">
        <f>+E458*F458</f>
        <v>130798.18629424012</v>
      </c>
      <c r="H458" s="77">
        <f>+G458/C458</f>
        <v>5945.372104283641</v>
      </c>
      <c r="J458" s="77"/>
    </row>
    <row r="459" spans="1:10" ht="15">
      <c r="A459" t="s">
        <v>467</v>
      </c>
      <c r="B459" s="105">
        <f>20*30</f>
        <v>600</v>
      </c>
      <c r="C459">
        <f>+J25</f>
        <v>24</v>
      </c>
      <c r="D459">
        <f>+B459*C459</f>
        <v>14400</v>
      </c>
      <c r="E459" s="144">
        <f>+D459/D461</f>
        <v>0.549618320610687</v>
      </c>
      <c r="F459" s="77">
        <f>+F457</f>
        <v>311537.49826446286</v>
      </c>
      <c r="G459" s="10">
        <f>+E459*F459</f>
        <v>171226.7166033689</v>
      </c>
      <c r="H459" s="77">
        <f>+G459/C459</f>
        <v>7134.446525140371</v>
      </c>
      <c r="J459" s="77"/>
    </row>
    <row r="460" spans="2:10" ht="15">
      <c r="B460" s="105"/>
      <c r="E460" s="144"/>
      <c r="F460" s="77"/>
      <c r="G460" s="10"/>
      <c r="H460" s="77"/>
      <c r="J460" s="77"/>
    </row>
    <row r="461" spans="1:10" ht="15">
      <c r="A461" s="2" t="s">
        <v>72</v>
      </c>
      <c r="B461" s="145">
        <f>SUM(B457:B459)</f>
        <v>1500</v>
      </c>
      <c r="D461">
        <f>SUM(D457:D459)</f>
        <v>26200</v>
      </c>
      <c r="E461" s="146">
        <f>SUM(E457:E459)</f>
        <v>1</v>
      </c>
      <c r="F461" s="147"/>
      <c r="G461" s="148">
        <f>SUM(G457:G459)</f>
        <v>311537.4982644628</v>
      </c>
      <c r="H461" s="77"/>
      <c r="J461" s="77"/>
    </row>
    <row r="462" spans="2:10" ht="15">
      <c r="B462" s="105"/>
      <c r="D462" s="77"/>
      <c r="E462" s="10"/>
      <c r="F462" s="10"/>
      <c r="G462" s="10"/>
      <c r="H462" s="77"/>
      <c r="J462" s="77"/>
    </row>
    <row r="463" spans="1:10" ht="15">
      <c r="A463" s="54" t="s">
        <v>468</v>
      </c>
      <c r="B463" s="54"/>
      <c r="C463" s="54"/>
      <c r="D463" s="54"/>
      <c r="E463" s="136"/>
      <c r="F463" s="123"/>
      <c r="G463" s="149">
        <f>SUM(F374:F453)</f>
        <v>311537.49826446286</v>
      </c>
      <c r="H463" s="149">
        <f>+G463/48</f>
        <v>6490.364547176309</v>
      </c>
      <c r="J463" s="77"/>
    </row>
    <row r="464" spans="5:10" ht="15">
      <c r="E464" s="135"/>
      <c r="F464" s="77"/>
      <c r="G464" s="95"/>
      <c r="H464" s="77"/>
      <c r="J464" s="77"/>
    </row>
    <row r="465" spans="5:10" ht="15">
      <c r="E465" s="135"/>
      <c r="F465" s="77"/>
      <c r="G465" s="95"/>
      <c r="H465" s="77"/>
      <c r="J465" s="77"/>
    </row>
    <row r="466" spans="5:10" ht="15">
      <c r="E466" s="135"/>
      <c r="F466" s="77"/>
      <c r="G466" s="95"/>
      <c r="H466" s="77"/>
      <c r="J466" s="77"/>
    </row>
    <row r="467" spans="5:8" ht="15">
      <c r="E467" s="135"/>
      <c r="F467" s="135"/>
      <c r="G467" s="95"/>
      <c r="H467" s="77"/>
    </row>
    <row r="468" spans="1:13" ht="15">
      <c r="A468" s="97"/>
      <c r="B468" s="32"/>
      <c r="C468" s="32"/>
      <c r="D468" s="32"/>
      <c r="E468" s="32" t="s">
        <v>80</v>
      </c>
      <c r="F468" s="32" t="s">
        <v>469</v>
      </c>
      <c r="H468" s="64"/>
      <c r="I468" s="98"/>
      <c r="J468" s="99"/>
      <c r="K468" s="64"/>
      <c r="L468" s="64"/>
      <c r="M468" s="64"/>
    </row>
    <row r="469" spans="1:13" ht="15">
      <c r="A469" s="137" t="s">
        <v>307</v>
      </c>
      <c r="C469" s="150"/>
      <c r="D469" s="151"/>
      <c r="H469" s="64"/>
      <c r="I469" s="64"/>
      <c r="J469" s="64"/>
      <c r="K469" s="64"/>
      <c r="L469" s="64"/>
      <c r="M469" s="64"/>
    </row>
    <row r="470" spans="1:13" ht="15">
      <c r="A470" s="97" t="s">
        <v>470</v>
      </c>
      <c r="B470" s="10">
        <f>+B77*1.1</f>
        <v>48.400000000000006</v>
      </c>
      <c r="C470" s="30">
        <f>+J23</f>
        <v>2</v>
      </c>
      <c r="D470" s="10">
        <f>+G85</f>
        <v>55</v>
      </c>
      <c r="F470" s="77">
        <f>+B470*C470*D470</f>
        <v>5324.000000000001</v>
      </c>
      <c r="H470" s="64"/>
      <c r="I470" s="100"/>
      <c r="J470" s="101"/>
      <c r="K470" s="101"/>
      <c r="L470" s="152"/>
      <c r="M470" s="153"/>
    </row>
    <row r="471" spans="1:13" ht="15">
      <c r="A471" s="97" t="s">
        <v>471</v>
      </c>
      <c r="B471" s="10">
        <f>+B470</f>
        <v>48.400000000000006</v>
      </c>
      <c r="C471" s="30">
        <f>+C470</f>
        <v>2</v>
      </c>
      <c r="D471" s="10">
        <f>+D376</f>
        <v>6</v>
      </c>
      <c r="F471" s="77">
        <f>+B471*C471*D471</f>
        <v>580.8000000000001</v>
      </c>
      <c r="H471" s="64"/>
      <c r="I471" s="100"/>
      <c r="J471" s="101"/>
      <c r="K471" s="101"/>
      <c r="L471" s="152"/>
      <c r="M471" s="153"/>
    </row>
    <row r="472" spans="1:13" ht="15">
      <c r="A472" t="s">
        <v>472</v>
      </c>
      <c r="B472" s="30">
        <f>+C106</f>
        <v>2</v>
      </c>
      <c r="C472">
        <f>+J23</f>
        <v>2</v>
      </c>
      <c r="D472" s="10">
        <f>+D106</f>
        <v>150</v>
      </c>
      <c r="E472" s="10"/>
      <c r="F472" s="77">
        <f aca="true" t="shared" si="28" ref="F472:F523">+B472*C472*D472</f>
        <v>600</v>
      </c>
      <c r="G472" s="10"/>
      <c r="H472" s="153"/>
      <c r="I472" s="64"/>
      <c r="J472" s="64"/>
      <c r="K472" s="64"/>
      <c r="L472" s="64"/>
      <c r="M472" s="64"/>
    </row>
    <row r="473" spans="1:13" ht="15">
      <c r="A473" t="s">
        <v>303</v>
      </c>
      <c r="B473">
        <f>+C111/48</f>
        <v>1</v>
      </c>
      <c r="C473">
        <f>C472</f>
        <v>2</v>
      </c>
      <c r="D473" s="10">
        <f>+D111</f>
        <v>100</v>
      </c>
      <c r="F473" s="77">
        <f t="shared" si="28"/>
        <v>200</v>
      </c>
      <c r="H473" s="64"/>
      <c r="I473" s="64"/>
      <c r="J473" s="64"/>
      <c r="K473" s="64"/>
      <c r="L473" s="64"/>
      <c r="M473" s="64"/>
    </row>
    <row r="474" spans="1:13" ht="15">
      <c r="A474" t="s">
        <v>305</v>
      </c>
      <c r="B474">
        <f>+C112/48</f>
        <v>1</v>
      </c>
      <c r="C474">
        <f aca="true" t="shared" si="29" ref="C474:C480">C473</f>
        <v>2</v>
      </c>
      <c r="D474" s="10">
        <f>+D112</f>
        <v>16</v>
      </c>
      <c r="F474" s="77">
        <f t="shared" si="28"/>
        <v>32</v>
      </c>
      <c r="H474" s="64"/>
      <c r="I474" s="102"/>
      <c r="J474" s="101"/>
      <c r="K474" s="101"/>
      <c r="L474" s="64"/>
      <c r="M474" s="64"/>
    </row>
    <row r="475" spans="1:13" ht="15">
      <c r="A475" t="s">
        <v>306</v>
      </c>
      <c r="B475">
        <f>+C113/48</f>
        <v>1</v>
      </c>
      <c r="C475">
        <f t="shared" si="29"/>
        <v>2</v>
      </c>
      <c r="D475" s="10">
        <f>+D113</f>
        <v>1</v>
      </c>
      <c r="F475" s="77">
        <f t="shared" si="28"/>
        <v>2</v>
      </c>
      <c r="H475" s="64"/>
      <c r="I475" s="102"/>
      <c r="J475" s="101"/>
      <c r="K475" s="101"/>
      <c r="L475" s="64"/>
      <c r="M475" s="64"/>
    </row>
    <row r="476" spans="1:13" ht="15">
      <c r="A476" t="s">
        <v>308</v>
      </c>
      <c r="B476">
        <f>+C115/J23</f>
        <v>2</v>
      </c>
      <c r="C476">
        <f t="shared" si="29"/>
        <v>2</v>
      </c>
      <c r="D476" s="10">
        <f>+D115</f>
        <v>50</v>
      </c>
      <c r="F476" s="77">
        <f t="shared" si="28"/>
        <v>200</v>
      </c>
      <c r="H476" s="64"/>
      <c r="I476" s="102"/>
      <c r="J476" s="101"/>
      <c r="K476" s="101"/>
      <c r="L476" s="64"/>
      <c r="M476" s="64"/>
    </row>
    <row r="477" spans="1:13" ht="15">
      <c r="A477" t="s">
        <v>309</v>
      </c>
      <c r="B477">
        <f>+B476</f>
        <v>2</v>
      </c>
      <c r="C477">
        <f t="shared" si="29"/>
        <v>2</v>
      </c>
      <c r="D477" s="10">
        <f>+D116</f>
        <v>1</v>
      </c>
      <c r="F477" s="77">
        <f t="shared" si="28"/>
        <v>4</v>
      </c>
      <c r="H477" s="64"/>
      <c r="I477" s="102"/>
      <c r="J477" s="101"/>
      <c r="K477" s="101"/>
      <c r="L477" s="64"/>
      <c r="M477" s="64"/>
    </row>
    <row r="478" spans="1:13" ht="15">
      <c r="A478" t="s">
        <v>310</v>
      </c>
      <c r="B478">
        <f>+B476</f>
        <v>2</v>
      </c>
      <c r="C478">
        <f t="shared" si="29"/>
        <v>2</v>
      </c>
      <c r="D478" s="10">
        <f>+D117</f>
        <v>16</v>
      </c>
      <c r="F478" s="77">
        <f t="shared" si="28"/>
        <v>64</v>
      </c>
      <c r="H478" s="64"/>
      <c r="I478" s="102"/>
      <c r="J478" s="101"/>
      <c r="K478" s="101"/>
      <c r="L478" s="64"/>
      <c r="M478" s="64"/>
    </row>
    <row r="479" spans="1:13" ht="15">
      <c r="A479" t="s">
        <v>324</v>
      </c>
      <c r="B479" s="118">
        <f>+B138</f>
        <v>350</v>
      </c>
      <c r="C479">
        <f t="shared" si="29"/>
        <v>2</v>
      </c>
      <c r="D479" s="76">
        <f aca="true" t="shared" si="30" ref="D479:D496">+D138</f>
        <v>0.174</v>
      </c>
      <c r="F479" s="77">
        <f t="shared" si="28"/>
        <v>121.8</v>
      </c>
      <c r="H479" s="64"/>
      <c r="I479" s="102"/>
      <c r="J479" s="101"/>
      <c r="K479" s="101"/>
      <c r="L479" s="64"/>
      <c r="M479" s="64"/>
    </row>
    <row r="480" spans="1:13" ht="15">
      <c r="A480" t="s">
        <v>326</v>
      </c>
      <c r="B480" s="118">
        <f>+B139</f>
        <v>275</v>
      </c>
      <c r="C480">
        <f t="shared" si="29"/>
        <v>2</v>
      </c>
      <c r="D480" s="76">
        <f t="shared" si="30"/>
        <v>0.13</v>
      </c>
      <c r="F480" s="77">
        <f t="shared" si="28"/>
        <v>71.5</v>
      </c>
      <c r="H480" s="64"/>
      <c r="I480" s="102"/>
      <c r="J480" s="101"/>
      <c r="K480" s="101"/>
      <c r="L480" s="64"/>
      <c r="M480" s="64"/>
    </row>
    <row r="481" spans="1:13" ht="15">
      <c r="A481" t="s">
        <v>328</v>
      </c>
      <c r="B481" s="105">
        <v>18</v>
      </c>
      <c r="C481">
        <f>+C478</f>
        <v>2</v>
      </c>
      <c r="D481" s="76">
        <f t="shared" si="30"/>
        <v>0.5</v>
      </c>
      <c r="F481" s="77">
        <f t="shared" si="28"/>
        <v>18</v>
      </c>
      <c r="H481" s="64"/>
      <c r="I481" s="102"/>
      <c r="J481" s="101"/>
      <c r="K481" s="101"/>
      <c r="L481" s="64"/>
      <c r="M481" s="64"/>
    </row>
    <row r="482" spans="1:13" ht="15">
      <c r="A482" t="s">
        <v>329</v>
      </c>
      <c r="B482" s="105">
        <f>+B481</f>
        <v>18</v>
      </c>
      <c r="C482">
        <f aca="true" t="shared" si="31" ref="C482:C491">+C481</f>
        <v>2</v>
      </c>
      <c r="D482" s="76">
        <f t="shared" si="30"/>
        <v>0.15</v>
      </c>
      <c r="F482" s="77">
        <f t="shared" si="28"/>
        <v>5.3999999999999995</v>
      </c>
      <c r="H482" s="64"/>
      <c r="I482" s="102"/>
      <c r="J482" s="101"/>
      <c r="K482" s="101"/>
      <c r="L482" s="64"/>
      <c r="M482" s="64"/>
    </row>
    <row r="483" spans="1:13" ht="15">
      <c r="A483" t="str">
        <f>+A142</f>
        <v>Ceramic Lights-2 per room</v>
      </c>
      <c r="B483" s="105">
        <v>10</v>
      </c>
      <c r="C483">
        <f t="shared" si="31"/>
        <v>2</v>
      </c>
      <c r="D483" s="76">
        <f t="shared" si="30"/>
        <v>0.55</v>
      </c>
      <c r="F483" s="77">
        <f t="shared" si="28"/>
        <v>11</v>
      </c>
      <c r="H483" s="64"/>
      <c r="I483" s="102"/>
      <c r="J483" s="101"/>
      <c r="K483" s="101"/>
      <c r="L483" s="64"/>
      <c r="M483" s="64"/>
    </row>
    <row r="484" spans="1:13" ht="15">
      <c r="A484" t="s">
        <v>345</v>
      </c>
      <c r="B484" s="105">
        <f>+B483</f>
        <v>10</v>
      </c>
      <c r="C484">
        <f t="shared" si="31"/>
        <v>2</v>
      </c>
      <c r="D484" s="76">
        <f t="shared" si="30"/>
        <v>0.5</v>
      </c>
      <c r="F484" s="77">
        <f t="shared" si="28"/>
        <v>10</v>
      </c>
      <c r="H484" s="64"/>
      <c r="I484" s="102"/>
      <c r="J484" s="101"/>
      <c r="K484" s="101"/>
      <c r="L484" s="64"/>
      <c r="M484" s="64"/>
    </row>
    <row r="485" spans="1:13" ht="15">
      <c r="A485" t="s">
        <v>346</v>
      </c>
      <c r="B485" s="105">
        <f>+B483</f>
        <v>10</v>
      </c>
      <c r="C485">
        <f t="shared" si="31"/>
        <v>2</v>
      </c>
      <c r="D485" s="76">
        <f t="shared" si="30"/>
        <v>0.15</v>
      </c>
      <c r="F485" s="77">
        <f t="shared" si="28"/>
        <v>3</v>
      </c>
      <c r="H485" s="64"/>
      <c r="I485" s="102"/>
      <c r="J485" s="101"/>
      <c r="K485" s="101"/>
      <c r="L485" s="64"/>
      <c r="M485" s="64"/>
    </row>
    <row r="486" spans="1:13" ht="15">
      <c r="A486" t="s">
        <v>333</v>
      </c>
      <c r="B486" s="105">
        <f>+B145</f>
        <v>2</v>
      </c>
      <c r="C486">
        <f t="shared" si="31"/>
        <v>2</v>
      </c>
      <c r="D486" s="76">
        <f t="shared" si="30"/>
        <v>0.55</v>
      </c>
      <c r="F486" s="77">
        <f t="shared" si="28"/>
        <v>2.2</v>
      </c>
      <c r="H486" s="64"/>
      <c r="I486" s="102"/>
      <c r="J486" s="101"/>
      <c r="K486" s="101"/>
      <c r="L486" s="64"/>
      <c r="M486" s="64"/>
    </row>
    <row r="487" spans="1:13" ht="15">
      <c r="A487" t="s">
        <v>334</v>
      </c>
      <c r="B487" s="105">
        <f>+B146</f>
        <v>2</v>
      </c>
      <c r="C487">
        <f t="shared" si="31"/>
        <v>2</v>
      </c>
      <c r="D487" s="76">
        <f t="shared" si="30"/>
        <v>0.5</v>
      </c>
      <c r="F487" s="77">
        <f t="shared" si="28"/>
        <v>2</v>
      </c>
      <c r="H487" s="64"/>
      <c r="I487" s="102"/>
      <c r="J487" s="101"/>
      <c r="K487" s="101"/>
      <c r="L487" s="64"/>
      <c r="M487" s="64"/>
    </row>
    <row r="488" spans="1:13" ht="15">
      <c r="A488" t="s">
        <v>335</v>
      </c>
      <c r="B488" s="105">
        <f>+B147</f>
        <v>2</v>
      </c>
      <c r="C488">
        <f t="shared" si="31"/>
        <v>2</v>
      </c>
      <c r="D488" s="76">
        <f t="shared" si="30"/>
        <v>0.15</v>
      </c>
      <c r="F488" s="77">
        <f t="shared" si="28"/>
        <v>0.6</v>
      </c>
      <c r="H488" s="64"/>
      <c r="I488" s="102"/>
      <c r="J488" s="101"/>
      <c r="K488" s="101"/>
      <c r="L488" s="64"/>
      <c r="M488" s="64"/>
    </row>
    <row r="489" spans="1:13" ht="15">
      <c r="A489" t="s">
        <v>336</v>
      </c>
      <c r="B489" s="105">
        <f>+B481</f>
        <v>18</v>
      </c>
      <c r="C489">
        <f>+C485</f>
        <v>2</v>
      </c>
      <c r="D489" s="76">
        <f t="shared" si="30"/>
        <v>0.6</v>
      </c>
      <c r="F489" s="77">
        <f t="shared" si="28"/>
        <v>21.599999999999998</v>
      </c>
      <c r="H489" s="64"/>
      <c r="I489" s="102"/>
      <c r="J489" s="101"/>
      <c r="K489" s="101"/>
      <c r="L489" s="64"/>
      <c r="M489" s="64"/>
    </row>
    <row r="490" spans="1:13" ht="15">
      <c r="A490" t="s">
        <v>337</v>
      </c>
      <c r="B490" s="105">
        <f>+B483+B486</f>
        <v>12</v>
      </c>
      <c r="C490">
        <f t="shared" si="31"/>
        <v>2</v>
      </c>
      <c r="D490" s="76">
        <f t="shared" si="30"/>
        <v>1</v>
      </c>
      <c r="F490" s="77">
        <f t="shared" si="28"/>
        <v>24</v>
      </c>
      <c r="H490" s="64"/>
      <c r="I490" s="102"/>
      <c r="J490" s="101"/>
      <c r="K490" s="101"/>
      <c r="L490" s="64"/>
      <c r="M490" s="64"/>
    </row>
    <row r="491" spans="1:13" ht="15">
      <c r="A491" t="s">
        <v>338</v>
      </c>
      <c r="B491" s="105">
        <f>+B490</f>
        <v>12</v>
      </c>
      <c r="C491">
        <f t="shared" si="31"/>
        <v>2</v>
      </c>
      <c r="D491" s="76">
        <f t="shared" si="30"/>
        <v>0.8</v>
      </c>
      <c r="F491" s="77">
        <f t="shared" si="28"/>
        <v>19.200000000000003</v>
      </c>
      <c r="H491" s="64"/>
      <c r="I491" s="102"/>
      <c r="J491" s="101"/>
      <c r="K491" s="101"/>
      <c r="L491" s="64"/>
      <c r="M491" s="64"/>
    </row>
    <row r="492" spans="1:13" ht="15">
      <c r="A492" t="s">
        <v>339</v>
      </c>
      <c r="B492" s="105">
        <v>1</v>
      </c>
      <c r="C492">
        <f>+C485</f>
        <v>2</v>
      </c>
      <c r="D492" s="76">
        <f t="shared" si="30"/>
        <v>30</v>
      </c>
      <c r="F492" s="77">
        <f t="shared" si="28"/>
        <v>60</v>
      </c>
      <c r="H492" s="64"/>
      <c r="I492" s="102"/>
      <c r="J492" s="101"/>
      <c r="K492" s="101"/>
      <c r="L492" s="64"/>
      <c r="M492" s="64"/>
    </row>
    <row r="493" spans="1:13" ht="15">
      <c r="A493" t="s">
        <v>340</v>
      </c>
      <c r="B493" s="105">
        <v>4</v>
      </c>
      <c r="C493">
        <f>+C489</f>
        <v>2</v>
      </c>
      <c r="D493" s="76">
        <f t="shared" si="30"/>
        <v>5.25</v>
      </c>
      <c r="F493" s="77">
        <f t="shared" si="28"/>
        <v>42</v>
      </c>
      <c r="H493" s="64"/>
      <c r="I493" s="102"/>
      <c r="J493" s="101"/>
      <c r="K493" s="101"/>
      <c r="L493" s="64"/>
      <c r="M493" s="64"/>
    </row>
    <row r="494" spans="1:13" ht="15">
      <c r="A494" t="s">
        <v>341</v>
      </c>
      <c r="B494" s="105">
        <v>1</v>
      </c>
      <c r="C494">
        <f>+C490</f>
        <v>2</v>
      </c>
      <c r="D494" s="76">
        <f t="shared" si="30"/>
        <v>52</v>
      </c>
      <c r="F494" s="77">
        <f t="shared" si="28"/>
        <v>104</v>
      </c>
      <c r="H494" s="64"/>
      <c r="I494" s="102"/>
      <c r="J494" s="101"/>
      <c r="K494" s="101"/>
      <c r="L494" s="64"/>
      <c r="M494" s="64"/>
    </row>
    <row r="495" spans="1:13" ht="15">
      <c r="A495" t="s">
        <v>342</v>
      </c>
      <c r="B495" s="105">
        <v>1</v>
      </c>
      <c r="C495">
        <f>+C491</f>
        <v>2</v>
      </c>
      <c r="D495" s="76">
        <f t="shared" si="30"/>
        <v>2.1</v>
      </c>
      <c r="F495" s="77">
        <f t="shared" si="28"/>
        <v>4.2</v>
      </c>
      <c r="H495" s="64"/>
      <c r="I495" s="102"/>
      <c r="J495" s="101"/>
      <c r="K495" s="101"/>
      <c r="L495" s="64"/>
      <c r="M495" s="64"/>
    </row>
    <row r="496" spans="1:13" ht="15">
      <c r="A496" t="s">
        <v>343</v>
      </c>
      <c r="B496" s="105">
        <v>2</v>
      </c>
      <c r="C496">
        <f>+C492</f>
        <v>2</v>
      </c>
      <c r="D496" s="76">
        <f t="shared" si="30"/>
        <v>12.5</v>
      </c>
      <c r="F496" s="77">
        <f t="shared" si="28"/>
        <v>50</v>
      </c>
      <c r="G496" s="154">
        <f>SUM(F479:F496)</f>
        <v>570.5</v>
      </c>
      <c r="H496" s="64"/>
      <c r="I496" s="102"/>
      <c r="J496" s="101"/>
      <c r="K496" s="101"/>
      <c r="L496" s="64"/>
      <c r="M496" s="64"/>
    </row>
    <row r="497" spans="1:13" ht="15">
      <c r="A497" t="s">
        <v>397</v>
      </c>
      <c r="B497">
        <v>1</v>
      </c>
      <c r="C497">
        <f aca="true" t="shared" si="32" ref="C497:C504">+C493</f>
        <v>2</v>
      </c>
      <c r="D497" s="10">
        <f>+D258</f>
        <v>165</v>
      </c>
      <c r="F497" s="77">
        <f t="shared" si="28"/>
        <v>330</v>
      </c>
      <c r="H497" s="64"/>
      <c r="I497" s="102"/>
      <c r="J497" s="101"/>
      <c r="K497" s="101"/>
      <c r="L497" s="64"/>
      <c r="M497" s="64"/>
    </row>
    <row r="498" spans="1:13" ht="15">
      <c r="A498" t="s">
        <v>398</v>
      </c>
      <c r="B498">
        <v>1</v>
      </c>
      <c r="C498">
        <f t="shared" si="32"/>
        <v>2</v>
      </c>
      <c r="D498" s="10">
        <f aca="true" t="shared" si="33" ref="D498:D504">+D259</f>
        <v>300</v>
      </c>
      <c r="F498" s="77">
        <f t="shared" si="28"/>
        <v>600</v>
      </c>
      <c r="H498" s="64"/>
      <c r="I498" s="102"/>
      <c r="J498" s="101"/>
      <c r="K498" s="101"/>
      <c r="L498" s="64"/>
      <c r="M498" s="64"/>
    </row>
    <row r="499" spans="1:13" ht="15">
      <c r="A499" t="s">
        <v>400</v>
      </c>
      <c r="B499">
        <v>1</v>
      </c>
      <c r="C499">
        <f t="shared" si="32"/>
        <v>2</v>
      </c>
      <c r="D499" s="10">
        <f t="shared" si="33"/>
        <v>150</v>
      </c>
      <c r="F499" s="77">
        <f t="shared" si="28"/>
        <v>300</v>
      </c>
      <c r="H499" s="64"/>
      <c r="I499" s="102"/>
      <c r="J499" s="101"/>
      <c r="K499" s="101"/>
      <c r="L499" s="64"/>
      <c r="M499" s="64"/>
    </row>
    <row r="500" spans="1:13" ht="15">
      <c r="A500" t="s">
        <v>401</v>
      </c>
      <c r="B500">
        <v>1</v>
      </c>
      <c r="C500">
        <f t="shared" si="32"/>
        <v>2</v>
      </c>
      <c r="D500" s="10">
        <f t="shared" si="33"/>
        <v>75</v>
      </c>
      <c r="F500" s="77">
        <f t="shared" si="28"/>
        <v>150</v>
      </c>
      <c r="H500" s="64"/>
      <c r="I500" s="102"/>
      <c r="J500" s="101"/>
      <c r="K500" s="101"/>
      <c r="L500" s="64"/>
      <c r="M500" s="64"/>
    </row>
    <row r="501" spans="1:13" ht="15">
      <c r="A501" t="s">
        <v>402</v>
      </c>
      <c r="B501">
        <v>1</v>
      </c>
      <c r="C501">
        <f t="shared" si="32"/>
        <v>2</v>
      </c>
      <c r="D501" s="10">
        <f t="shared" si="33"/>
        <v>75</v>
      </c>
      <c r="F501" s="77">
        <f t="shared" si="28"/>
        <v>150</v>
      </c>
      <c r="H501" s="64"/>
      <c r="I501" s="102"/>
      <c r="J501" s="101"/>
      <c r="K501" s="101"/>
      <c r="L501" s="64"/>
      <c r="M501" s="64"/>
    </row>
    <row r="502" spans="1:13" ht="15">
      <c r="A502" t="s">
        <v>403</v>
      </c>
      <c r="B502">
        <v>1</v>
      </c>
      <c r="C502">
        <f t="shared" si="32"/>
        <v>2</v>
      </c>
      <c r="D502" s="10">
        <f t="shared" si="33"/>
        <v>26</v>
      </c>
      <c r="F502" s="77">
        <f t="shared" si="28"/>
        <v>52</v>
      </c>
      <c r="H502" s="64"/>
      <c r="I502" s="102"/>
      <c r="J502" s="101"/>
      <c r="K502" s="101"/>
      <c r="L502" s="64"/>
      <c r="M502" s="64"/>
    </row>
    <row r="503" spans="1:13" ht="15">
      <c r="A503" t="s">
        <v>405</v>
      </c>
      <c r="B503">
        <v>1</v>
      </c>
      <c r="C503">
        <f t="shared" si="32"/>
        <v>2</v>
      </c>
      <c r="D503" s="10">
        <f t="shared" si="33"/>
        <v>1.55</v>
      </c>
      <c r="F503" s="77">
        <f t="shared" si="28"/>
        <v>3.1</v>
      </c>
      <c r="J503" s="101"/>
      <c r="K503" s="101"/>
      <c r="L503" s="64"/>
      <c r="M503" s="64"/>
    </row>
    <row r="504" spans="1:13" ht="15">
      <c r="A504" s="123" t="s">
        <v>406</v>
      </c>
      <c r="B504">
        <v>1</v>
      </c>
      <c r="C504">
        <f t="shared" si="32"/>
        <v>2</v>
      </c>
      <c r="D504" s="10">
        <f t="shared" si="33"/>
        <v>35</v>
      </c>
      <c r="F504" s="77">
        <f t="shared" si="28"/>
        <v>70</v>
      </c>
      <c r="J504" s="101"/>
      <c r="K504" s="101"/>
      <c r="L504" s="64"/>
      <c r="M504" s="64"/>
    </row>
    <row r="505" spans="6:13" ht="15">
      <c r="F505" s="77"/>
      <c r="G505" s="155"/>
      <c r="H505" s="156"/>
      <c r="J505" s="101"/>
      <c r="K505" s="101"/>
      <c r="L505" s="64"/>
      <c r="M505" s="64"/>
    </row>
    <row r="506" spans="1:13" ht="15">
      <c r="A506" t="s">
        <v>372</v>
      </c>
      <c r="B506" s="105">
        <v>5</v>
      </c>
      <c r="C506">
        <f>+C504</f>
        <v>2</v>
      </c>
      <c r="D506" s="142">
        <v>4.6</v>
      </c>
      <c r="F506" s="77">
        <f t="shared" si="28"/>
        <v>46</v>
      </c>
      <c r="G506" s="155"/>
      <c r="H506" s="156"/>
      <c r="J506" s="101"/>
      <c r="K506" s="101"/>
      <c r="L506" s="64"/>
      <c r="M506" s="64"/>
    </row>
    <row r="507" spans="1:13" ht="15">
      <c r="A507" t="s">
        <v>374</v>
      </c>
      <c r="B507" s="105">
        <v>6</v>
      </c>
      <c r="C507">
        <f>+C506</f>
        <v>2</v>
      </c>
      <c r="D507" s="142">
        <v>1</v>
      </c>
      <c r="F507" s="77">
        <f t="shared" si="28"/>
        <v>12</v>
      </c>
      <c r="G507" s="155"/>
      <c r="H507" s="156"/>
      <c r="J507" s="101"/>
      <c r="K507" s="101"/>
      <c r="L507" s="64"/>
      <c r="M507" s="64"/>
    </row>
    <row r="508" spans="1:13" ht="15">
      <c r="A508" t="s">
        <v>375</v>
      </c>
      <c r="B508" s="105">
        <v>1</v>
      </c>
      <c r="C508">
        <f aca="true" t="shared" si="34" ref="C508:C521">+C506</f>
        <v>2</v>
      </c>
      <c r="D508" s="142">
        <v>10</v>
      </c>
      <c r="F508" s="77">
        <f t="shared" si="28"/>
        <v>20</v>
      </c>
      <c r="G508" s="155"/>
      <c r="H508" s="156"/>
      <c r="J508" s="101"/>
      <c r="K508" s="101"/>
      <c r="L508" s="64"/>
      <c r="M508" s="64"/>
    </row>
    <row r="509" spans="1:13" ht="15">
      <c r="A509" t="s">
        <v>376</v>
      </c>
      <c r="B509" s="105">
        <v>3</v>
      </c>
      <c r="C509">
        <f t="shared" si="34"/>
        <v>2</v>
      </c>
      <c r="D509" s="142">
        <v>5</v>
      </c>
      <c r="F509" s="77">
        <f t="shared" si="28"/>
        <v>30</v>
      </c>
      <c r="G509" s="155"/>
      <c r="H509" s="156"/>
      <c r="J509" s="101"/>
      <c r="K509" s="101"/>
      <c r="L509" s="64"/>
      <c r="M509" s="64"/>
    </row>
    <row r="510" spans="1:13" ht="15">
      <c r="A510" t="s">
        <v>377</v>
      </c>
      <c r="B510" s="105">
        <v>4</v>
      </c>
      <c r="C510">
        <f t="shared" si="34"/>
        <v>2</v>
      </c>
      <c r="D510" s="142">
        <v>5</v>
      </c>
      <c r="F510" s="77">
        <f t="shared" si="28"/>
        <v>40</v>
      </c>
      <c r="G510" s="155"/>
      <c r="H510" s="156"/>
      <c r="J510" s="101"/>
      <c r="K510" s="101"/>
      <c r="L510" s="64"/>
      <c r="M510" s="64"/>
    </row>
    <row r="511" spans="1:13" ht="15">
      <c r="A511" t="s">
        <v>378</v>
      </c>
      <c r="B511" s="105">
        <v>1</v>
      </c>
      <c r="C511">
        <f t="shared" si="34"/>
        <v>2</v>
      </c>
      <c r="D511" s="142">
        <v>1.6</v>
      </c>
      <c r="F511" s="77">
        <f t="shared" si="28"/>
        <v>3.2</v>
      </c>
      <c r="G511" s="155"/>
      <c r="H511" s="156"/>
      <c r="J511" s="101"/>
      <c r="K511" s="101"/>
      <c r="L511" s="64"/>
      <c r="M511" s="64"/>
    </row>
    <row r="512" spans="1:13" ht="15">
      <c r="A512" s="78" t="s">
        <v>379</v>
      </c>
      <c r="B512" s="105">
        <v>4</v>
      </c>
      <c r="C512">
        <f t="shared" si="34"/>
        <v>2</v>
      </c>
      <c r="D512" s="142">
        <v>1.25</v>
      </c>
      <c r="F512" s="77">
        <f t="shared" si="28"/>
        <v>10</v>
      </c>
      <c r="G512" s="155"/>
      <c r="H512" s="156"/>
      <c r="J512" s="101"/>
      <c r="K512" s="101"/>
      <c r="L512" s="64"/>
      <c r="M512" s="64"/>
    </row>
    <row r="513" spans="1:13" ht="15">
      <c r="A513" t="s">
        <v>380</v>
      </c>
      <c r="B513" s="105">
        <v>1</v>
      </c>
      <c r="C513">
        <f t="shared" si="34"/>
        <v>2</v>
      </c>
      <c r="D513" s="142">
        <v>50</v>
      </c>
      <c r="F513" s="77">
        <f t="shared" si="28"/>
        <v>100</v>
      </c>
      <c r="G513" s="155"/>
      <c r="H513" s="156"/>
      <c r="J513" s="101"/>
      <c r="K513" s="101"/>
      <c r="L513" s="64"/>
      <c r="M513" s="64"/>
    </row>
    <row r="514" spans="1:13" ht="15">
      <c r="A514" t="s">
        <v>490</v>
      </c>
      <c r="B514" s="105">
        <v>1</v>
      </c>
      <c r="C514">
        <f>+C513</f>
        <v>2</v>
      </c>
      <c r="D514" s="76">
        <v>75</v>
      </c>
      <c r="F514" s="77">
        <f t="shared" si="28"/>
        <v>150</v>
      </c>
      <c r="G514" s="155"/>
      <c r="H514" s="156"/>
      <c r="J514" s="101"/>
      <c r="K514" s="101"/>
      <c r="L514" s="64"/>
      <c r="M514" s="64"/>
    </row>
    <row r="515" spans="1:13" ht="15">
      <c r="A515" t="s">
        <v>381</v>
      </c>
      <c r="B515" s="105">
        <v>1</v>
      </c>
      <c r="C515">
        <f>+C512</f>
        <v>2</v>
      </c>
      <c r="D515" s="142">
        <v>26</v>
      </c>
      <c r="F515" s="77">
        <f t="shared" si="28"/>
        <v>52</v>
      </c>
      <c r="G515" s="155"/>
      <c r="H515" s="156"/>
      <c r="J515" s="101"/>
      <c r="K515" s="101"/>
      <c r="L515" s="64"/>
      <c r="M515" s="64"/>
    </row>
    <row r="516" spans="1:13" ht="15">
      <c r="A516" t="s">
        <v>382</v>
      </c>
      <c r="B516" s="105">
        <v>1</v>
      </c>
      <c r="C516">
        <f>+C513</f>
        <v>2</v>
      </c>
      <c r="D516" s="142">
        <v>45</v>
      </c>
      <c r="F516" s="77">
        <f t="shared" si="28"/>
        <v>90</v>
      </c>
      <c r="G516" s="155"/>
      <c r="H516" s="156"/>
      <c r="J516" s="101"/>
      <c r="K516" s="101"/>
      <c r="L516" s="64"/>
      <c r="M516" s="64"/>
    </row>
    <row r="517" spans="1:13" ht="15">
      <c r="A517" t="s">
        <v>383</v>
      </c>
      <c r="B517" s="105">
        <v>1</v>
      </c>
      <c r="C517">
        <f t="shared" si="34"/>
        <v>2</v>
      </c>
      <c r="D517" s="142">
        <v>30</v>
      </c>
      <c r="F517" s="77">
        <f t="shared" si="28"/>
        <v>60</v>
      </c>
      <c r="G517" s="155"/>
      <c r="H517" s="156"/>
      <c r="J517" s="101"/>
      <c r="K517" s="101"/>
      <c r="L517" s="64"/>
      <c r="M517" s="64"/>
    </row>
    <row r="518" spans="1:13" ht="15">
      <c r="A518" t="s">
        <v>384</v>
      </c>
      <c r="B518" s="105">
        <v>1</v>
      </c>
      <c r="C518">
        <f t="shared" si="34"/>
        <v>2</v>
      </c>
      <c r="D518" s="142">
        <v>35</v>
      </c>
      <c r="F518" s="77">
        <f t="shared" si="28"/>
        <v>70</v>
      </c>
      <c r="G518" s="155"/>
      <c r="H518" s="156"/>
      <c r="J518" s="101"/>
      <c r="K518" s="101"/>
      <c r="L518" s="64"/>
      <c r="M518" s="64"/>
    </row>
    <row r="519" spans="1:13" ht="15">
      <c r="A519" s="120" t="s">
        <v>409</v>
      </c>
      <c r="B519" s="105">
        <f>20*20</f>
        <v>400</v>
      </c>
      <c r="C519">
        <f t="shared" si="34"/>
        <v>2</v>
      </c>
      <c r="D519" s="10">
        <f>+D418</f>
        <v>1</v>
      </c>
      <c r="F519" s="77">
        <f t="shared" si="28"/>
        <v>800</v>
      </c>
      <c r="G519" s="155"/>
      <c r="H519" s="156"/>
      <c r="J519" s="101"/>
      <c r="K519" s="101"/>
      <c r="L519" s="64"/>
      <c r="M519" s="64"/>
    </row>
    <row r="520" spans="1:13" ht="15">
      <c r="A520" s="120" t="s">
        <v>410</v>
      </c>
      <c r="B520" s="105">
        <v>1</v>
      </c>
      <c r="C520">
        <f t="shared" si="34"/>
        <v>2</v>
      </c>
      <c r="D520" s="10">
        <f>+D419</f>
        <v>125</v>
      </c>
      <c r="F520" s="77">
        <f t="shared" si="28"/>
        <v>250</v>
      </c>
      <c r="G520" s="155"/>
      <c r="H520" s="156"/>
      <c r="J520" s="101"/>
      <c r="K520" s="101"/>
      <c r="L520" s="64"/>
      <c r="M520" s="64"/>
    </row>
    <row r="521" spans="1:13" ht="15">
      <c r="A521" t="s">
        <v>411</v>
      </c>
      <c r="B521" s="105">
        <v>6</v>
      </c>
      <c r="C521">
        <f t="shared" si="34"/>
        <v>2</v>
      </c>
      <c r="D521" s="10">
        <f>+D420</f>
        <v>6.2</v>
      </c>
      <c r="F521" s="77">
        <f t="shared" si="28"/>
        <v>74.4</v>
      </c>
      <c r="G521" s="155"/>
      <c r="H521" s="156"/>
      <c r="J521" s="101"/>
      <c r="K521" s="101"/>
      <c r="L521" s="64"/>
      <c r="M521" s="64"/>
    </row>
    <row r="522" spans="6:13" ht="15">
      <c r="F522" s="77">
        <f t="shared" si="28"/>
        <v>0</v>
      </c>
      <c r="G522" s="155"/>
      <c r="H522" s="156"/>
      <c r="J522" s="101"/>
      <c r="K522" s="101"/>
      <c r="L522" s="64"/>
      <c r="M522" s="64"/>
    </row>
    <row r="523" spans="1:13" ht="15">
      <c r="A523" s="120" t="s">
        <v>361</v>
      </c>
      <c r="B523" s="121">
        <v>1</v>
      </c>
      <c r="C523">
        <f>+C521</f>
        <v>2</v>
      </c>
      <c r="D523" s="76">
        <v>1500</v>
      </c>
      <c r="F523" s="77">
        <f t="shared" si="28"/>
        <v>3000</v>
      </c>
      <c r="I523" s="102"/>
      <c r="J523" s="101"/>
      <c r="K523" s="101"/>
      <c r="L523" s="64"/>
      <c r="M523" s="64"/>
    </row>
    <row r="524" spans="1:13" ht="15">
      <c r="A524" s="120"/>
      <c r="B524" s="121"/>
      <c r="D524" s="76"/>
      <c r="F524" s="77"/>
      <c r="I524" s="102"/>
      <c r="J524" s="101"/>
      <c r="K524" s="101"/>
      <c r="L524" s="64"/>
      <c r="M524" s="64"/>
    </row>
    <row r="525" spans="1:13" ht="15">
      <c r="A525" s="120"/>
      <c r="B525" s="121"/>
      <c r="D525" s="76"/>
      <c r="F525" s="77"/>
      <c r="G525" s="32" t="s">
        <v>473</v>
      </c>
      <c r="H525" s="157" t="s">
        <v>474</v>
      </c>
      <c r="I525" s="102"/>
      <c r="J525" s="101"/>
      <c r="K525" s="101"/>
      <c r="L525" s="64"/>
      <c r="M525" s="64"/>
    </row>
    <row r="526" spans="1:13" ht="15">
      <c r="A526" s="158" t="s">
        <v>475</v>
      </c>
      <c r="G526" s="156">
        <f>SUM(F469:F526)</f>
        <v>14040.000000000002</v>
      </c>
      <c r="H526" s="159">
        <f>+G526/J23</f>
        <v>7020.000000000001</v>
      </c>
      <c r="J526" s="101"/>
      <c r="K526" s="101"/>
      <c r="L526" s="64"/>
      <c r="M526" s="64"/>
    </row>
    <row r="527" spans="1:13" ht="15">
      <c r="A527" s="158"/>
      <c r="G527" s="156"/>
      <c r="H527" s="159"/>
      <c r="J527" s="101"/>
      <c r="K527" s="101"/>
      <c r="L527" s="64"/>
      <c r="M527" s="64"/>
    </row>
    <row r="528" spans="1:13" ht="15">
      <c r="A528" s="158" t="s">
        <v>476</v>
      </c>
      <c r="G528" s="156">
        <f>+G457</f>
        <v>9512.595366853828</v>
      </c>
      <c r="H528" s="159">
        <f>+H457</f>
        <v>4756.297683426914</v>
      </c>
      <c r="J528" s="101"/>
      <c r="K528" s="101"/>
      <c r="L528" s="64"/>
      <c r="M528" s="64"/>
    </row>
    <row r="529" spans="1:13" ht="15">
      <c r="A529" s="158"/>
      <c r="G529" s="156"/>
      <c r="H529" s="159"/>
      <c r="J529" s="101"/>
      <c r="K529" s="101"/>
      <c r="L529" s="64"/>
      <c r="M529" s="64"/>
    </row>
    <row r="530" spans="1:13" ht="15">
      <c r="A530" s="158" t="s">
        <v>477</v>
      </c>
      <c r="G530" s="156">
        <f>SUM(G526:G528)</f>
        <v>23552.595366853828</v>
      </c>
      <c r="H530" s="160">
        <f>SUM(H526:H528)</f>
        <v>11776.297683426914</v>
      </c>
      <c r="J530" s="101"/>
      <c r="K530" s="101"/>
      <c r="L530" s="64"/>
      <c r="M530" s="64"/>
    </row>
    <row r="531" spans="1:13" ht="15">
      <c r="A531" s="97"/>
      <c r="G531" s="155"/>
      <c r="H531" s="156"/>
      <c r="I531" s="102"/>
      <c r="J531" s="101"/>
      <c r="K531" s="101"/>
      <c r="L531" s="64"/>
      <c r="M531" s="64"/>
    </row>
    <row r="532" spans="1:13" ht="15">
      <c r="A532" s="161" t="s">
        <v>478</v>
      </c>
      <c r="C532" s="150"/>
      <c r="D532" s="151"/>
      <c r="H532" s="64"/>
      <c r="I532" s="102"/>
      <c r="J532" s="101"/>
      <c r="K532" s="101"/>
      <c r="L532" s="64"/>
      <c r="M532" s="64"/>
    </row>
    <row r="533" spans="1:13" ht="15">
      <c r="A533" s="97" t="str">
        <f>+A470</f>
        <v>Panels- Interior rooms</v>
      </c>
      <c r="B533" s="10">
        <f>+B78*1.1</f>
        <v>50.6</v>
      </c>
      <c r="C533" s="30">
        <f>+C78</f>
        <v>22</v>
      </c>
      <c r="D533" s="10">
        <f>+D470</f>
        <v>55</v>
      </c>
      <c r="F533" s="77">
        <f>+B533*C533*D533</f>
        <v>61226</v>
      </c>
      <c r="H533" s="64"/>
      <c r="I533" s="102"/>
      <c r="J533" s="101"/>
      <c r="K533" s="101"/>
      <c r="L533" s="64"/>
      <c r="M533" s="64"/>
    </row>
    <row r="534" spans="1:13" ht="15">
      <c r="A534" s="97" t="s">
        <v>471</v>
      </c>
      <c r="B534" s="10">
        <f>+B533</f>
        <v>50.6</v>
      </c>
      <c r="C534" s="30">
        <f>+C533</f>
        <v>22</v>
      </c>
      <c r="D534" s="10">
        <f>+D471</f>
        <v>6</v>
      </c>
      <c r="F534" s="77">
        <f>+B534*C534*D534</f>
        <v>6679.200000000001</v>
      </c>
      <c r="H534" s="64"/>
      <c r="I534" s="102"/>
      <c r="J534" s="101"/>
      <c r="K534" s="101"/>
      <c r="L534" s="64"/>
      <c r="M534" s="64"/>
    </row>
    <row r="535" spans="1:13" ht="15">
      <c r="A535" t="str">
        <f>+A472</f>
        <v>2 windows</v>
      </c>
      <c r="B535">
        <f>+B472</f>
        <v>2</v>
      </c>
      <c r="C535" s="30">
        <f>+C533</f>
        <v>22</v>
      </c>
      <c r="D535" s="10">
        <f>+D472</f>
        <v>150</v>
      </c>
      <c r="F535" s="77">
        <f aca="true" t="shared" si="35" ref="F535:F586">+B535*C535*D535</f>
        <v>6600</v>
      </c>
      <c r="H535" s="64"/>
      <c r="I535" s="102"/>
      <c r="J535" s="101"/>
      <c r="K535" s="101"/>
      <c r="L535" s="64"/>
      <c r="M535" s="64"/>
    </row>
    <row r="536" spans="1:13" ht="15">
      <c r="A536" t="s">
        <v>303</v>
      </c>
      <c r="B536">
        <f>+C111/48</f>
        <v>1</v>
      </c>
      <c r="C536" s="30">
        <f aca="true" t="shared" si="36" ref="C536:C543">+C535</f>
        <v>22</v>
      </c>
      <c r="D536" s="10">
        <f>+D111</f>
        <v>100</v>
      </c>
      <c r="F536" s="77">
        <f t="shared" si="35"/>
        <v>2200</v>
      </c>
      <c r="H536" s="64"/>
      <c r="I536" s="102"/>
      <c r="J536" s="101"/>
      <c r="K536" s="101"/>
      <c r="L536" s="64"/>
      <c r="M536" s="64"/>
    </row>
    <row r="537" spans="1:13" ht="15">
      <c r="A537" t="s">
        <v>305</v>
      </c>
      <c r="B537">
        <f>+C112/48</f>
        <v>1</v>
      </c>
      <c r="C537" s="30">
        <f t="shared" si="36"/>
        <v>22</v>
      </c>
      <c r="D537" s="10">
        <f>+D112</f>
        <v>16</v>
      </c>
      <c r="F537" s="77">
        <f t="shared" si="35"/>
        <v>352</v>
      </c>
      <c r="H537" s="64"/>
      <c r="I537" s="102"/>
      <c r="J537" s="101"/>
      <c r="K537" s="101"/>
      <c r="L537" s="64"/>
      <c r="M537" s="64"/>
    </row>
    <row r="538" spans="1:13" ht="15">
      <c r="A538" t="s">
        <v>306</v>
      </c>
      <c r="B538">
        <f>+C113/48</f>
        <v>1</v>
      </c>
      <c r="C538" s="30">
        <f t="shared" si="36"/>
        <v>22</v>
      </c>
      <c r="D538" s="10">
        <f>+D113</f>
        <v>1</v>
      </c>
      <c r="F538" s="77">
        <f t="shared" si="35"/>
        <v>22</v>
      </c>
      <c r="H538" s="64"/>
      <c r="I538" s="102"/>
      <c r="J538" s="101"/>
      <c r="K538" s="101"/>
      <c r="L538" s="64"/>
      <c r="M538" s="64"/>
    </row>
    <row r="539" spans="1:13" ht="15">
      <c r="A539" t="s">
        <v>312</v>
      </c>
      <c r="B539">
        <f>+C119/J24</f>
        <v>3</v>
      </c>
      <c r="C539" s="30">
        <f t="shared" si="36"/>
        <v>22</v>
      </c>
      <c r="D539" s="10">
        <f>+D119</f>
        <v>50</v>
      </c>
      <c r="F539" s="77">
        <f t="shared" si="35"/>
        <v>3300</v>
      </c>
      <c r="H539" s="64"/>
      <c r="I539" s="102"/>
      <c r="J539" s="101"/>
      <c r="K539" s="101"/>
      <c r="L539" s="64"/>
      <c r="M539" s="64"/>
    </row>
    <row r="540" spans="1:13" ht="15">
      <c r="A540" t="s">
        <v>309</v>
      </c>
      <c r="B540">
        <f>+B539</f>
        <v>3</v>
      </c>
      <c r="C540" s="30">
        <f t="shared" si="36"/>
        <v>22</v>
      </c>
      <c r="D540" s="10">
        <f>+D120</f>
        <v>1</v>
      </c>
      <c r="F540" s="77">
        <f t="shared" si="35"/>
        <v>66</v>
      </c>
      <c r="H540" s="64"/>
      <c r="I540" s="102"/>
      <c r="J540" s="101"/>
      <c r="K540" s="101"/>
      <c r="L540" s="64"/>
      <c r="M540" s="64"/>
    </row>
    <row r="541" spans="1:13" ht="15">
      <c r="A541" t="s">
        <v>310</v>
      </c>
      <c r="B541">
        <f>+B539</f>
        <v>3</v>
      </c>
      <c r="C541" s="30">
        <f t="shared" si="36"/>
        <v>22</v>
      </c>
      <c r="D541" s="10">
        <f>+D121</f>
        <v>16</v>
      </c>
      <c r="F541" s="77">
        <f t="shared" si="35"/>
        <v>1056</v>
      </c>
      <c r="H541" s="64"/>
      <c r="I541" s="102"/>
      <c r="J541" s="101"/>
      <c r="K541" s="101"/>
      <c r="L541" s="64"/>
      <c r="M541" s="64"/>
    </row>
    <row r="542" spans="1:13" ht="15">
      <c r="A542" t="s">
        <v>324</v>
      </c>
      <c r="B542" s="118">
        <f>B158</f>
        <v>400</v>
      </c>
      <c r="C542" s="30">
        <f t="shared" si="36"/>
        <v>22</v>
      </c>
      <c r="D542" s="76">
        <f aca="true" t="shared" si="37" ref="D542:D559">+D158</f>
        <v>0.174</v>
      </c>
      <c r="F542" s="77">
        <f t="shared" si="35"/>
        <v>1531.1999999999998</v>
      </c>
      <c r="H542" s="64"/>
      <c r="I542" s="102"/>
      <c r="J542" s="101"/>
      <c r="K542" s="101"/>
      <c r="L542" s="64"/>
      <c r="M542" s="64"/>
    </row>
    <row r="543" spans="1:13" ht="15">
      <c r="A543" t="s">
        <v>326</v>
      </c>
      <c r="B543" s="118">
        <f>B159</f>
        <v>350</v>
      </c>
      <c r="C543" s="30">
        <f t="shared" si="36"/>
        <v>22</v>
      </c>
      <c r="D543" s="76">
        <f t="shared" si="37"/>
        <v>0.13</v>
      </c>
      <c r="F543" s="77">
        <f t="shared" si="35"/>
        <v>1001</v>
      </c>
      <c r="H543" s="64"/>
      <c r="I543" s="102"/>
      <c r="J543" s="101"/>
      <c r="K543" s="101"/>
      <c r="L543" s="64"/>
      <c r="M543" s="64"/>
    </row>
    <row r="544" spans="1:13" ht="15">
      <c r="A544" t="s">
        <v>328</v>
      </c>
      <c r="B544" s="105">
        <v>22</v>
      </c>
      <c r="C544" s="30">
        <f>+C541</f>
        <v>22</v>
      </c>
      <c r="D544" s="76">
        <f t="shared" si="37"/>
        <v>0.5</v>
      </c>
      <c r="F544" s="77">
        <f t="shared" si="35"/>
        <v>242</v>
      </c>
      <c r="H544" s="64"/>
      <c r="I544" s="102"/>
      <c r="J544" s="101"/>
      <c r="K544" s="101"/>
      <c r="L544" s="64"/>
      <c r="M544" s="64"/>
    </row>
    <row r="545" spans="1:13" ht="15">
      <c r="A545" t="s">
        <v>329</v>
      </c>
      <c r="B545" s="105">
        <f>+B544</f>
        <v>22</v>
      </c>
      <c r="C545" s="30">
        <f aca="true" t="shared" si="38" ref="C545:C558">+C544</f>
        <v>22</v>
      </c>
      <c r="D545" s="76">
        <f t="shared" si="37"/>
        <v>0.15</v>
      </c>
      <c r="F545" s="77">
        <f t="shared" si="35"/>
        <v>72.6</v>
      </c>
      <c r="H545" s="64"/>
      <c r="I545" s="102"/>
      <c r="J545" s="101"/>
      <c r="K545" s="101"/>
      <c r="L545" s="64"/>
      <c r="M545" s="64"/>
    </row>
    <row r="546" spans="1:13" ht="15">
      <c r="A546" t="str">
        <f>+A483</f>
        <v>Ceramic Lights-2 per room</v>
      </c>
      <c r="B546" s="105">
        <v>12</v>
      </c>
      <c r="C546" s="30">
        <f t="shared" si="38"/>
        <v>22</v>
      </c>
      <c r="D546" s="76">
        <f t="shared" si="37"/>
        <v>0.55</v>
      </c>
      <c r="F546" s="77">
        <f t="shared" si="35"/>
        <v>145.20000000000002</v>
      </c>
      <c r="H546" s="64"/>
      <c r="I546" s="102"/>
      <c r="J546" s="101"/>
      <c r="K546" s="101"/>
      <c r="L546" s="64"/>
      <c r="M546" s="64"/>
    </row>
    <row r="547" spans="1:13" ht="15">
      <c r="A547" t="s">
        <v>345</v>
      </c>
      <c r="B547" s="105">
        <f>+B546</f>
        <v>12</v>
      </c>
      <c r="C547" s="30">
        <f t="shared" si="38"/>
        <v>22</v>
      </c>
      <c r="D547" s="76">
        <f t="shared" si="37"/>
        <v>0.5</v>
      </c>
      <c r="F547" s="77">
        <f t="shared" si="35"/>
        <v>132</v>
      </c>
      <c r="H547" s="64"/>
      <c r="I547" s="102"/>
      <c r="J547" s="101"/>
      <c r="K547" s="101"/>
      <c r="L547" s="64"/>
      <c r="M547" s="64"/>
    </row>
    <row r="548" spans="1:13" ht="15">
      <c r="A548" t="s">
        <v>346</v>
      </c>
      <c r="B548" s="105">
        <f>+B546</f>
        <v>12</v>
      </c>
      <c r="C548" s="30">
        <f t="shared" si="38"/>
        <v>22</v>
      </c>
      <c r="D548" s="76">
        <f t="shared" si="37"/>
        <v>0.15</v>
      </c>
      <c r="F548" s="77">
        <f t="shared" si="35"/>
        <v>39.6</v>
      </c>
      <c r="H548" s="64"/>
      <c r="I548" s="102"/>
      <c r="J548" s="101"/>
      <c r="K548" s="101"/>
      <c r="L548" s="64"/>
      <c r="M548" s="64"/>
    </row>
    <row r="549" spans="1:13" ht="15">
      <c r="A549" t="s">
        <v>333</v>
      </c>
      <c r="B549" s="105">
        <v>2</v>
      </c>
      <c r="C549" s="30">
        <f t="shared" si="38"/>
        <v>22</v>
      </c>
      <c r="D549" s="76">
        <f t="shared" si="37"/>
        <v>0.55</v>
      </c>
      <c r="F549" s="77">
        <f t="shared" si="35"/>
        <v>24.200000000000003</v>
      </c>
      <c r="H549" s="64"/>
      <c r="I549" s="102"/>
      <c r="J549" s="101"/>
      <c r="K549" s="101"/>
      <c r="L549" s="64"/>
      <c r="M549" s="64"/>
    </row>
    <row r="550" spans="1:13" ht="15">
      <c r="A550" t="s">
        <v>334</v>
      </c>
      <c r="B550" s="105">
        <v>2</v>
      </c>
      <c r="C550" s="30">
        <f t="shared" si="38"/>
        <v>22</v>
      </c>
      <c r="D550" s="76">
        <f t="shared" si="37"/>
        <v>0.5</v>
      </c>
      <c r="F550" s="77">
        <f t="shared" si="35"/>
        <v>22</v>
      </c>
      <c r="H550" s="64"/>
      <c r="I550" s="102"/>
      <c r="J550" s="101"/>
      <c r="K550" s="101"/>
      <c r="L550" s="64"/>
      <c r="M550" s="64"/>
    </row>
    <row r="551" spans="1:13" ht="15">
      <c r="A551" t="s">
        <v>335</v>
      </c>
      <c r="B551" s="105">
        <v>2</v>
      </c>
      <c r="C551" s="30">
        <f t="shared" si="38"/>
        <v>22</v>
      </c>
      <c r="D551" s="76">
        <f t="shared" si="37"/>
        <v>0.15</v>
      </c>
      <c r="F551" s="77">
        <f t="shared" si="35"/>
        <v>6.6</v>
      </c>
      <c r="H551" s="64"/>
      <c r="I551" s="102"/>
      <c r="J551" s="101"/>
      <c r="K551" s="101"/>
      <c r="L551" s="64"/>
      <c r="M551" s="64"/>
    </row>
    <row r="552" spans="1:13" ht="15">
      <c r="A552" t="s">
        <v>336</v>
      </c>
      <c r="B552" s="105">
        <f>+B544</f>
        <v>22</v>
      </c>
      <c r="C552" s="30">
        <f t="shared" si="38"/>
        <v>22</v>
      </c>
      <c r="D552" s="76">
        <f t="shared" si="37"/>
        <v>0.6</v>
      </c>
      <c r="F552" s="77">
        <f t="shared" si="35"/>
        <v>290.4</v>
      </c>
      <c r="H552" s="64"/>
      <c r="I552" s="102"/>
      <c r="J552" s="101"/>
      <c r="K552" s="101"/>
      <c r="L552" s="64"/>
      <c r="M552" s="64"/>
    </row>
    <row r="553" spans="1:13" ht="15">
      <c r="A553" t="s">
        <v>337</v>
      </c>
      <c r="B553" s="105">
        <f>+B546+B549</f>
        <v>14</v>
      </c>
      <c r="C553" s="30">
        <f t="shared" si="38"/>
        <v>22</v>
      </c>
      <c r="D553" s="76">
        <f t="shared" si="37"/>
        <v>1</v>
      </c>
      <c r="F553" s="77">
        <f t="shared" si="35"/>
        <v>308</v>
      </c>
      <c r="H553" s="64"/>
      <c r="I553" s="102"/>
      <c r="J553" s="101"/>
      <c r="K553" s="101"/>
      <c r="L553" s="64"/>
      <c r="M553" s="64"/>
    </row>
    <row r="554" spans="1:13" ht="15">
      <c r="A554" t="s">
        <v>338</v>
      </c>
      <c r="B554" s="105">
        <f>+B553</f>
        <v>14</v>
      </c>
      <c r="C554" s="30">
        <f t="shared" si="38"/>
        <v>22</v>
      </c>
      <c r="D554" s="76">
        <f t="shared" si="37"/>
        <v>0.8</v>
      </c>
      <c r="F554" s="77">
        <f t="shared" si="35"/>
        <v>246.4</v>
      </c>
      <c r="H554" s="64"/>
      <c r="I554" s="102"/>
      <c r="J554" s="101"/>
      <c r="K554" s="101"/>
      <c r="L554" s="64"/>
      <c r="M554" s="64"/>
    </row>
    <row r="555" spans="1:13" ht="15">
      <c r="A555" t="s">
        <v>339</v>
      </c>
      <c r="B555" s="105">
        <v>1</v>
      </c>
      <c r="C555" s="30">
        <f>+C554</f>
        <v>22</v>
      </c>
      <c r="D555" s="76">
        <f t="shared" si="37"/>
        <v>30</v>
      </c>
      <c r="F555" s="77">
        <f t="shared" si="35"/>
        <v>660</v>
      </c>
      <c r="H555" s="64"/>
      <c r="I555" s="102"/>
      <c r="J555" s="101"/>
      <c r="K555" s="101"/>
      <c r="L555" s="64"/>
      <c r="M555" s="64"/>
    </row>
    <row r="556" spans="1:13" ht="15">
      <c r="A556" t="s">
        <v>340</v>
      </c>
      <c r="B556" s="105">
        <v>4</v>
      </c>
      <c r="C556" s="30">
        <f>+C554</f>
        <v>22</v>
      </c>
      <c r="D556" s="76">
        <f t="shared" si="37"/>
        <v>5.25</v>
      </c>
      <c r="F556" s="77">
        <f t="shared" si="35"/>
        <v>462</v>
      </c>
      <c r="H556" s="64"/>
      <c r="I556" s="102"/>
      <c r="J556" s="101"/>
      <c r="K556" s="101"/>
      <c r="L556" s="64"/>
      <c r="M556" s="64"/>
    </row>
    <row r="557" spans="1:13" ht="15">
      <c r="A557" t="s">
        <v>341</v>
      </c>
      <c r="B557" s="105">
        <v>1</v>
      </c>
      <c r="C557" s="30">
        <f t="shared" si="38"/>
        <v>22</v>
      </c>
      <c r="D557" s="76">
        <f t="shared" si="37"/>
        <v>52</v>
      </c>
      <c r="F557" s="77">
        <f t="shared" si="35"/>
        <v>1144</v>
      </c>
      <c r="H557" s="64"/>
      <c r="I557" s="102"/>
      <c r="J557" s="101"/>
      <c r="K557" s="101"/>
      <c r="L557" s="64"/>
      <c r="M557" s="64"/>
    </row>
    <row r="558" spans="1:13" ht="15">
      <c r="A558" t="s">
        <v>342</v>
      </c>
      <c r="B558" s="105">
        <v>1</v>
      </c>
      <c r="C558" s="30">
        <f t="shared" si="38"/>
        <v>22</v>
      </c>
      <c r="D558" s="76">
        <f t="shared" si="37"/>
        <v>2.1</v>
      </c>
      <c r="F558" s="77">
        <f t="shared" si="35"/>
        <v>46.2</v>
      </c>
      <c r="H558" s="64"/>
      <c r="I558" s="102"/>
      <c r="J558" s="101"/>
      <c r="K558" s="101"/>
      <c r="L558" s="64"/>
      <c r="M558" s="64"/>
    </row>
    <row r="559" spans="1:13" ht="15">
      <c r="A559" t="s">
        <v>343</v>
      </c>
      <c r="B559" s="105">
        <v>3</v>
      </c>
      <c r="C559" s="30">
        <f>+C558</f>
        <v>22</v>
      </c>
      <c r="D559" s="76">
        <f t="shared" si="37"/>
        <v>12.5</v>
      </c>
      <c r="F559" s="77">
        <f t="shared" si="35"/>
        <v>825</v>
      </c>
      <c r="G559" s="154">
        <f>SUM(F542:F559)</f>
        <v>7198.399999999999</v>
      </c>
      <c r="H559" s="64"/>
      <c r="I559" s="102"/>
      <c r="J559" s="101"/>
      <c r="K559" s="101"/>
      <c r="L559" s="64"/>
      <c r="M559" s="64"/>
    </row>
    <row r="560" spans="1:13" ht="15">
      <c r="A560" t="s">
        <v>397</v>
      </c>
      <c r="B560">
        <v>1</v>
      </c>
      <c r="C560" s="30">
        <f>+C558</f>
        <v>22</v>
      </c>
      <c r="D560" s="76">
        <f>+D497</f>
        <v>165</v>
      </c>
      <c r="F560" s="77">
        <f t="shared" si="35"/>
        <v>3630</v>
      </c>
      <c r="G560" s="154"/>
      <c r="H560" s="64"/>
      <c r="I560" s="102"/>
      <c r="J560" s="101"/>
      <c r="K560" s="101"/>
      <c r="L560" s="64"/>
      <c r="M560" s="64"/>
    </row>
    <row r="561" spans="1:13" ht="15">
      <c r="A561" t="s">
        <v>398</v>
      </c>
      <c r="B561">
        <v>1</v>
      </c>
      <c r="C561" s="30">
        <f aca="true" t="shared" si="39" ref="C561:C567">+C559</f>
        <v>22</v>
      </c>
      <c r="D561" s="76">
        <f aca="true" t="shared" si="40" ref="D561:D567">+D498</f>
        <v>300</v>
      </c>
      <c r="F561" s="77">
        <f t="shared" si="35"/>
        <v>6600</v>
      </c>
      <c r="G561" s="154"/>
      <c r="H561" s="64"/>
      <c r="I561" s="102"/>
      <c r="J561" s="101"/>
      <c r="K561" s="101"/>
      <c r="L561" s="64"/>
      <c r="M561" s="64"/>
    </row>
    <row r="562" spans="1:13" ht="15">
      <c r="A562" t="s">
        <v>400</v>
      </c>
      <c r="B562">
        <v>1</v>
      </c>
      <c r="C562" s="30">
        <f t="shared" si="39"/>
        <v>22</v>
      </c>
      <c r="D562" s="76">
        <f t="shared" si="40"/>
        <v>150</v>
      </c>
      <c r="F562" s="77">
        <f t="shared" si="35"/>
        <v>3300</v>
      </c>
      <c r="G562" s="154"/>
      <c r="H562" s="64"/>
      <c r="I562" s="102"/>
      <c r="J562" s="101"/>
      <c r="K562" s="101"/>
      <c r="L562" s="64"/>
      <c r="M562" s="64"/>
    </row>
    <row r="563" spans="1:13" ht="15">
      <c r="A563" t="s">
        <v>401</v>
      </c>
      <c r="B563">
        <v>1</v>
      </c>
      <c r="C563" s="30">
        <f t="shared" si="39"/>
        <v>22</v>
      </c>
      <c r="D563" s="76">
        <f t="shared" si="40"/>
        <v>75</v>
      </c>
      <c r="F563" s="77">
        <f t="shared" si="35"/>
        <v>1650</v>
      </c>
      <c r="G563" s="154"/>
      <c r="H563" s="64"/>
      <c r="I563" s="102"/>
      <c r="J563" s="101"/>
      <c r="K563" s="101"/>
      <c r="L563" s="64"/>
      <c r="M563" s="64"/>
    </row>
    <row r="564" spans="1:13" ht="15">
      <c r="A564" t="s">
        <v>402</v>
      </c>
      <c r="B564">
        <v>1</v>
      </c>
      <c r="C564" s="30">
        <f t="shared" si="39"/>
        <v>22</v>
      </c>
      <c r="D564" s="76">
        <f t="shared" si="40"/>
        <v>75</v>
      </c>
      <c r="F564" s="77">
        <f t="shared" si="35"/>
        <v>1650</v>
      </c>
      <c r="G564" s="154"/>
      <c r="H564" s="64"/>
      <c r="I564" s="102"/>
      <c r="J564" s="101"/>
      <c r="K564" s="101"/>
      <c r="L564" s="64"/>
      <c r="M564" s="64"/>
    </row>
    <row r="565" spans="1:13" ht="15">
      <c r="A565" t="s">
        <v>403</v>
      </c>
      <c r="B565">
        <v>1</v>
      </c>
      <c r="C565" s="30">
        <f t="shared" si="39"/>
        <v>22</v>
      </c>
      <c r="D565" s="76">
        <f t="shared" si="40"/>
        <v>26</v>
      </c>
      <c r="F565" s="77">
        <f t="shared" si="35"/>
        <v>572</v>
      </c>
      <c r="G565" s="154"/>
      <c r="H565" s="64"/>
      <c r="I565" s="102"/>
      <c r="J565" s="101"/>
      <c r="K565" s="101"/>
      <c r="L565" s="64"/>
      <c r="M565" s="64"/>
    </row>
    <row r="566" spans="1:13" ht="15">
      <c r="A566" t="s">
        <v>405</v>
      </c>
      <c r="B566">
        <v>1</v>
      </c>
      <c r="C566" s="30">
        <f t="shared" si="39"/>
        <v>22</v>
      </c>
      <c r="D566" s="76">
        <f t="shared" si="40"/>
        <v>1.55</v>
      </c>
      <c r="F566" s="77">
        <f t="shared" si="35"/>
        <v>34.1</v>
      </c>
      <c r="I566" s="102"/>
      <c r="J566" s="101"/>
      <c r="K566" s="101"/>
      <c r="L566" s="64"/>
      <c r="M566" s="64"/>
    </row>
    <row r="567" spans="1:13" ht="15">
      <c r="A567" s="123" t="s">
        <v>406</v>
      </c>
      <c r="B567">
        <v>1</v>
      </c>
      <c r="C567" s="30">
        <f t="shared" si="39"/>
        <v>22</v>
      </c>
      <c r="D567" s="76">
        <f t="shared" si="40"/>
        <v>35</v>
      </c>
      <c r="F567" s="77">
        <f t="shared" si="35"/>
        <v>770</v>
      </c>
      <c r="G567" s="44"/>
      <c r="H567" s="162"/>
      <c r="I567" s="102"/>
      <c r="J567" s="101"/>
      <c r="K567" s="101"/>
      <c r="L567" s="64"/>
      <c r="M567" s="64"/>
    </row>
    <row r="568" spans="3:13" ht="15">
      <c r="C568" s="30"/>
      <c r="F568" s="77"/>
      <c r="G568" s="44"/>
      <c r="H568" s="162"/>
      <c r="I568" s="102"/>
      <c r="J568" s="101"/>
      <c r="K568" s="101"/>
      <c r="L568" s="64"/>
      <c r="M568" s="64"/>
    </row>
    <row r="569" spans="1:13" ht="15">
      <c r="A569" t="s">
        <v>372</v>
      </c>
      <c r="B569" s="105">
        <v>5</v>
      </c>
      <c r="C569" s="30">
        <f>+C567</f>
        <v>22</v>
      </c>
      <c r="D569" s="142">
        <v>4.6</v>
      </c>
      <c r="F569" s="77">
        <f t="shared" si="35"/>
        <v>505.99999999999994</v>
      </c>
      <c r="G569" s="44"/>
      <c r="H569" s="162"/>
      <c r="I569" s="102"/>
      <c r="J569" s="101"/>
      <c r="K569" s="101"/>
      <c r="L569" s="64"/>
      <c r="M569" s="64"/>
    </row>
    <row r="570" spans="1:13" ht="15">
      <c r="A570" t="s">
        <v>374</v>
      </c>
      <c r="B570" s="105">
        <v>6</v>
      </c>
      <c r="C570" s="30">
        <f>+C569</f>
        <v>22</v>
      </c>
      <c r="D570" s="142">
        <v>1</v>
      </c>
      <c r="F570" s="77">
        <f t="shared" si="35"/>
        <v>132</v>
      </c>
      <c r="G570" s="44"/>
      <c r="H570" s="162"/>
      <c r="I570" s="102"/>
      <c r="J570" s="101"/>
      <c r="K570" s="101"/>
      <c r="L570" s="64"/>
      <c r="M570" s="64"/>
    </row>
    <row r="571" spans="1:13" ht="15">
      <c r="A571" t="s">
        <v>375</v>
      </c>
      <c r="B571" s="105">
        <v>1</v>
      </c>
      <c r="C571" s="30">
        <f aca="true" t="shared" si="41" ref="C571:C584">+C569</f>
        <v>22</v>
      </c>
      <c r="D571" s="142">
        <v>10</v>
      </c>
      <c r="F571" s="77">
        <f t="shared" si="35"/>
        <v>220</v>
      </c>
      <c r="G571" s="44"/>
      <c r="H571" s="162"/>
      <c r="I571" s="102"/>
      <c r="J571" s="101"/>
      <c r="K571" s="101"/>
      <c r="L571" s="64"/>
      <c r="M571" s="64"/>
    </row>
    <row r="572" spans="1:13" ht="15">
      <c r="A572" t="s">
        <v>376</v>
      </c>
      <c r="B572" s="105">
        <v>3</v>
      </c>
      <c r="C572" s="30">
        <f t="shared" si="41"/>
        <v>22</v>
      </c>
      <c r="D572" s="142">
        <v>5</v>
      </c>
      <c r="F572" s="77">
        <f t="shared" si="35"/>
        <v>330</v>
      </c>
      <c r="G572" s="44"/>
      <c r="H572" s="162"/>
      <c r="I572" s="102"/>
      <c r="J572" s="101"/>
      <c r="K572" s="101"/>
      <c r="L572" s="64"/>
      <c r="M572" s="64"/>
    </row>
    <row r="573" spans="1:13" ht="15">
      <c r="A573" t="s">
        <v>377</v>
      </c>
      <c r="B573" s="105">
        <v>4</v>
      </c>
      <c r="C573" s="30">
        <f t="shared" si="41"/>
        <v>22</v>
      </c>
      <c r="D573" s="142">
        <v>5</v>
      </c>
      <c r="F573" s="77">
        <f t="shared" si="35"/>
        <v>440</v>
      </c>
      <c r="G573" s="44"/>
      <c r="H573" s="162"/>
      <c r="I573" s="102"/>
      <c r="J573" s="101"/>
      <c r="K573" s="101"/>
      <c r="L573" s="64"/>
      <c r="M573" s="64"/>
    </row>
    <row r="574" spans="1:13" ht="15">
      <c r="A574" t="s">
        <v>378</v>
      </c>
      <c r="B574" s="105">
        <v>1</v>
      </c>
      <c r="C574" s="30">
        <f t="shared" si="41"/>
        <v>22</v>
      </c>
      <c r="D574" s="142">
        <v>1.6</v>
      </c>
      <c r="F574" s="77">
        <f t="shared" si="35"/>
        <v>35.2</v>
      </c>
      <c r="G574" s="44"/>
      <c r="H574" s="162"/>
      <c r="I574" s="102"/>
      <c r="J574" s="101"/>
      <c r="K574" s="101"/>
      <c r="L574" s="64"/>
      <c r="M574" s="64"/>
    </row>
    <row r="575" spans="1:13" ht="15">
      <c r="A575" s="78" t="s">
        <v>379</v>
      </c>
      <c r="B575" s="105">
        <v>4</v>
      </c>
      <c r="C575" s="30">
        <f t="shared" si="41"/>
        <v>22</v>
      </c>
      <c r="D575" s="142">
        <v>1.25</v>
      </c>
      <c r="F575" s="77">
        <f t="shared" si="35"/>
        <v>110</v>
      </c>
      <c r="G575" s="44"/>
      <c r="H575" s="162"/>
      <c r="I575" s="102"/>
      <c r="J575" s="101"/>
      <c r="K575" s="101"/>
      <c r="L575" s="64"/>
      <c r="M575" s="64"/>
    </row>
    <row r="576" spans="1:13" ht="15">
      <c r="A576" t="s">
        <v>380</v>
      </c>
      <c r="B576" s="105">
        <v>1</v>
      </c>
      <c r="C576" s="30">
        <f t="shared" si="41"/>
        <v>22</v>
      </c>
      <c r="D576" s="142">
        <v>50</v>
      </c>
      <c r="F576" s="77">
        <f t="shared" si="35"/>
        <v>1100</v>
      </c>
      <c r="G576" s="44"/>
      <c r="H576" s="162"/>
      <c r="I576" s="102"/>
      <c r="J576" s="101"/>
      <c r="K576" s="101"/>
      <c r="L576" s="64"/>
      <c r="M576" s="64"/>
    </row>
    <row r="577" spans="1:13" ht="15">
      <c r="A577" t="str">
        <f>+A514</f>
        <v>Units-Shower: Blocks. Concrete, tile- shower area</v>
      </c>
      <c r="B577" s="105">
        <v>1</v>
      </c>
      <c r="C577" s="30">
        <f>+C576</f>
        <v>22</v>
      </c>
      <c r="D577" s="142">
        <f>+D514</f>
        <v>75</v>
      </c>
      <c r="F577" s="77">
        <f t="shared" si="35"/>
        <v>1650</v>
      </c>
      <c r="G577" s="44"/>
      <c r="H577" s="162"/>
      <c r="I577" s="102"/>
      <c r="J577" s="101"/>
      <c r="K577" s="101"/>
      <c r="L577" s="64"/>
      <c r="M577" s="64"/>
    </row>
    <row r="578" spans="1:13" ht="15">
      <c r="A578" t="s">
        <v>381</v>
      </c>
      <c r="B578" s="105">
        <v>1</v>
      </c>
      <c r="C578" s="30">
        <f>+C575</f>
        <v>22</v>
      </c>
      <c r="D578" s="142">
        <v>26</v>
      </c>
      <c r="F578" s="77">
        <f t="shared" si="35"/>
        <v>572</v>
      </c>
      <c r="G578" s="44"/>
      <c r="H578" s="162"/>
      <c r="I578" s="102"/>
      <c r="J578" s="101"/>
      <c r="K578" s="101"/>
      <c r="L578" s="64"/>
      <c r="M578" s="64"/>
    </row>
    <row r="579" spans="1:13" ht="15">
      <c r="A579" t="s">
        <v>382</v>
      </c>
      <c r="B579" s="105">
        <v>1</v>
      </c>
      <c r="C579" s="30">
        <f>+C576</f>
        <v>22</v>
      </c>
      <c r="D579" s="142">
        <v>45</v>
      </c>
      <c r="F579" s="77">
        <f t="shared" si="35"/>
        <v>990</v>
      </c>
      <c r="G579" s="44"/>
      <c r="H579" s="162"/>
      <c r="I579" s="102"/>
      <c r="J579" s="101"/>
      <c r="K579" s="101"/>
      <c r="L579" s="64"/>
      <c r="M579" s="64"/>
    </row>
    <row r="580" spans="1:13" ht="15">
      <c r="A580" t="s">
        <v>383</v>
      </c>
      <c r="B580" s="105">
        <v>1</v>
      </c>
      <c r="C580" s="30">
        <f t="shared" si="41"/>
        <v>22</v>
      </c>
      <c r="D580" s="142">
        <v>30</v>
      </c>
      <c r="F580" s="77">
        <f t="shared" si="35"/>
        <v>660</v>
      </c>
      <c r="G580" s="44"/>
      <c r="H580" s="162"/>
      <c r="I580" s="102"/>
      <c r="J580" s="101"/>
      <c r="K580" s="101"/>
      <c r="L580" s="64"/>
      <c r="M580" s="64"/>
    </row>
    <row r="581" spans="1:13" ht="15">
      <c r="A581" t="s">
        <v>384</v>
      </c>
      <c r="B581" s="105">
        <v>1</v>
      </c>
      <c r="C581" s="30">
        <f t="shared" si="41"/>
        <v>22</v>
      </c>
      <c r="D581" s="142">
        <v>35</v>
      </c>
      <c r="F581" s="77">
        <f t="shared" si="35"/>
        <v>770</v>
      </c>
      <c r="G581" s="44"/>
      <c r="H581" s="162"/>
      <c r="I581" s="102"/>
      <c r="J581" s="101"/>
      <c r="K581" s="101"/>
      <c r="L581" s="64"/>
      <c r="M581" s="64"/>
    </row>
    <row r="582" spans="1:13" ht="15">
      <c r="A582" t="s">
        <v>413</v>
      </c>
      <c r="B582" s="105">
        <f>20*25</f>
        <v>500</v>
      </c>
      <c r="C582" s="30">
        <f t="shared" si="41"/>
        <v>22</v>
      </c>
      <c r="D582" s="10">
        <f>+D519</f>
        <v>1</v>
      </c>
      <c r="F582" s="77">
        <f t="shared" si="35"/>
        <v>11000</v>
      </c>
      <c r="G582" s="44"/>
      <c r="H582" s="162"/>
      <c r="I582" s="102"/>
      <c r="J582" s="101"/>
      <c r="K582" s="101"/>
      <c r="L582" s="64"/>
      <c r="M582" s="64"/>
    </row>
    <row r="583" spans="1:13" ht="15">
      <c r="A583" t="s">
        <v>414</v>
      </c>
      <c r="B583" s="105">
        <f>+B580</f>
        <v>1</v>
      </c>
      <c r="C583" s="30">
        <f t="shared" si="41"/>
        <v>22</v>
      </c>
      <c r="D583" s="10">
        <f>+D520</f>
        <v>125</v>
      </c>
      <c r="F583" s="77">
        <f t="shared" si="35"/>
        <v>2750</v>
      </c>
      <c r="G583" s="44"/>
      <c r="H583" s="162"/>
      <c r="I583" s="102"/>
      <c r="J583" s="101"/>
      <c r="K583" s="101"/>
      <c r="L583" s="64"/>
      <c r="M583" s="64"/>
    </row>
    <row r="584" spans="1:13" ht="15">
      <c r="A584" t="s">
        <v>415</v>
      </c>
      <c r="B584" s="105">
        <v>8</v>
      </c>
      <c r="C584" s="30">
        <f t="shared" si="41"/>
        <v>22</v>
      </c>
      <c r="D584" s="10">
        <f>+D521</f>
        <v>6.2</v>
      </c>
      <c r="F584" s="77">
        <f t="shared" si="35"/>
        <v>1091.2</v>
      </c>
      <c r="G584" s="44"/>
      <c r="H584" s="162"/>
      <c r="I584" s="102"/>
      <c r="J584" s="101"/>
      <c r="K584" s="101"/>
      <c r="L584" s="64"/>
      <c r="M584" s="64"/>
    </row>
    <row r="585" spans="3:13" ht="15">
      <c r="C585" s="30"/>
      <c r="F585" s="77"/>
      <c r="G585" s="44"/>
      <c r="H585" s="162"/>
      <c r="I585" s="102"/>
      <c r="J585" s="101"/>
      <c r="K585" s="101"/>
      <c r="L585" s="64"/>
      <c r="M585" s="64"/>
    </row>
    <row r="586" spans="1:13" ht="15">
      <c r="A586" t="s">
        <v>362</v>
      </c>
      <c r="B586" s="121">
        <v>1</v>
      </c>
      <c r="C586" s="30">
        <f>+C584</f>
        <v>22</v>
      </c>
      <c r="D586" s="76">
        <v>1700</v>
      </c>
      <c r="F586" s="77">
        <f t="shared" si="35"/>
        <v>37400</v>
      </c>
      <c r="G586" s="44"/>
      <c r="H586" s="162"/>
      <c r="I586" s="102"/>
      <c r="J586" s="101"/>
      <c r="K586" s="101"/>
      <c r="L586" s="64"/>
      <c r="M586" s="64"/>
    </row>
    <row r="587" spans="3:13" ht="15">
      <c r="C587" s="30"/>
      <c r="G587" s="32" t="s">
        <v>473</v>
      </c>
      <c r="H587" s="157" t="s">
        <v>474</v>
      </c>
      <c r="I587" s="102"/>
      <c r="J587" s="101"/>
      <c r="K587" s="101"/>
      <c r="L587" s="64"/>
      <c r="M587" s="64"/>
    </row>
    <row r="588" spans="1:13" ht="15">
      <c r="A588" s="158" t="s">
        <v>475</v>
      </c>
      <c r="C588" s="30"/>
      <c r="G588" s="162">
        <f>SUM(F532:F588)</f>
        <v>166662.09999999998</v>
      </c>
      <c r="H588" s="159">
        <f>+G588/J24</f>
        <v>7575.549999999999</v>
      </c>
      <c r="J588" s="101"/>
      <c r="K588" s="101"/>
      <c r="L588" s="64"/>
      <c r="M588" s="64"/>
    </row>
    <row r="589" spans="1:13" ht="15">
      <c r="A589" s="158"/>
      <c r="C589" s="30"/>
      <c r="G589" s="162"/>
      <c r="H589" s="159"/>
      <c r="J589" s="101"/>
      <c r="K589" s="101"/>
      <c r="L589" s="64"/>
      <c r="M589" s="64"/>
    </row>
    <row r="590" spans="1:13" ht="15">
      <c r="A590" s="158" t="s">
        <v>476</v>
      </c>
      <c r="C590" s="30"/>
      <c r="G590" s="162">
        <f>+G458</f>
        <v>130798.18629424012</v>
      </c>
      <c r="H590" s="160">
        <f>+H458</f>
        <v>5945.372104283641</v>
      </c>
      <c r="J590" s="101"/>
      <c r="K590" s="101"/>
      <c r="L590" s="64"/>
      <c r="M590" s="64"/>
    </row>
    <row r="591" spans="1:13" ht="15">
      <c r="A591" s="158"/>
      <c r="C591" s="30"/>
      <c r="G591" s="162"/>
      <c r="H591" s="159"/>
      <c r="J591" s="101"/>
      <c r="K591" s="101"/>
      <c r="L591" s="64"/>
      <c r="M591" s="64"/>
    </row>
    <row r="592" spans="1:13" ht="15">
      <c r="A592" s="158" t="s">
        <v>477</v>
      </c>
      <c r="C592" s="30"/>
      <c r="G592" s="162">
        <f>SUM(G588:G590)</f>
        <v>297460.2862942401</v>
      </c>
      <c r="H592" s="160">
        <f>SUM(H588:H590)</f>
        <v>13520.92210428364</v>
      </c>
      <c r="J592" s="101"/>
      <c r="K592" s="101"/>
      <c r="L592" s="64"/>
      <c r="M592" s="64"/>
    </row>
    <row r="593" spans="1:13" ht="15">
      <c r="A593" s="97"/>
      <c r="C593" s="30"/>
      <c r="G593" s="162"/>
      <c r="H593" s="44"/>
      <c r="J593" s="101"/>
      <c r="K593" s="101"/>
      <c r="L593" s="64"/>
      <c r="M593" s="64"/>
    </row>
    <row r="594" spans="1:13" ht="15">
      <c r="A594" s="161" t="s">
        <v>479</v>
      </c>
      <c r="C594" s="30"/>
      <c r="D594" s="151"/>
      <c r="H594" s="64"/>
      <c r="I594" s="102"/>
      <c r="J594" s="101"/>
      <c r="K594" s="101"/>
      <c r="L594" s="64"/>
      <c r="M594" s="64"/>
    </row>
    <row r="595" spans="1:13" ht="15">
      <c r="A595" s="97" t="str">
        <f>+A533</f>
        <v>Panels- Interior rooms</v>
      </c>
      <c r="B595" s="10">
        <f>+B79*1.1</f>
        <v>77</v>
      </c>
      <c r="C595" s="30">
        <f>+C79</f>
        <v>24</v>
      </c>
      <c r="D595" s="10">
        <f>+D470</f>
        <v>55</v>
      </c>
      <c r="F595" s="77">
        <f>+B595*C595*D595</f>
        <v>101640</v>
      </c>
      <c r="H595" s="64"/>
      <c r="I595" s="102"/>
      <c r="J595" s="101"/>
      <c r="K595" s="101"/>
      <c r="L595" s="64"/>
      <c r="M595" s="64"/>
    </row>
    <row r="596" spans="1:13" ht="15">
      <c r="A596" s="97" t="s">
        <v>471</v>
      </c>
      <c r="B596" s="10">
        <f>+B595</f>
        <v>77</v>
      </c>
      <c r="C596" s="30">
        <f>+C595</f>
        <v>24</v>
      </c>
      <c r="D596" s="10">
        <f>+D534</f>
        <v>6</v>
      </c>
      <c r="F596" s="77">
        <f>+B596*C596*D596</f>
        <v>11088</v>
      </c>
      <c r="H596" s="64"/>
      <c r="I596" s="102"/>
      <c r="J596" s="101"/>
      <c r="K596" s="101"/>
      <c r="L596" s="64"/>
      <c r="M596" s="64"/>
    </row>
    <row r="597" spans="1:13" ht="15">
      <c r="A597" s="97" t="str">
        <f>+A472</f>
        <v>2 windows</v>
      </c>
      <c r="B597">
        <f>+B472</f>
        <v>2</v>
      </c>
      <c r="C597" s="30">
        <f>+C595</f>
        <v>24</v>
      </c>
      <c r="D597" s="10">
        <f>+D472</f>
        <v>150</v>
      </c>
      <c r="F597" s="77">
        <f aca="true" t="shared" si="42" ref="F597:F649">+B597*C597*D597</f>
        <v>7200</v>
      </c>
      <c r="H597" s="64"/>
      <c r="I597" s="102"/>
      <c r="J597" s="101"/>
      <c r="K597" s="101"/>
      <c r="L597" s="64"/>
      <c r="M597" s="64"/>
    </row>
    <row r="598" spans="1:13" ht="15">
      <c r="A598" t="s">
        <v>303</v>
      </c>
      <c r="B598">
        <f>+C111/48</f>
        <v>1</v>
      </c>
      <c r="C598" s="30">
        <f aca="true" t="shared" si="43" ref="C598:C605">+C597</f>
        <v>24</v>
      </c>
      <c r="D598" s="10">
        <f>+D111</f>
        <v>100</v>
      </c>
      <c r="F598" s="77">
        <f t="shared" si="42"/>
        <v>2400</v>
      </c>
      <c r="H598" s="64"/>
      <c r="I598" s="102"/>
      <c r="J598" s="101"/>
      <c r="K598" s="101"/>
      <c r="L598" s="64"/>
      <c r="M598" s="64"/>
    </row>
    <row r="599" spans="1:11" ht="15">
      <c r="A599" t="s">
        <v>305</v>
      </c>
      <c r="B599">
        <f>+C112/48</f>
        <v>1</v>
      </c>
      <c r="C599" s="30">
        <f t="shared" si="43"/>
        <v>24</v>
      </c>
      <c r="D599" s="10">
        <f>+D112</f>
        <v>16</v>
      </c>
      <c r="F599" s="77">
        <f t="shared" si="42"/>
        <v>384</v>
      </c>
      <c r="I599" s="94"/>
      <c r="J599" s="93"/>
      <c r="K599" s="96"/>
    </row>
    <row r="600" spans="1:11" ht="15">
      <c r="A600" t="s">
        <v>306</v>
      </c>
      <c r="B600">
        <f>+C113/48</f>
        <v>1</v>
      </c>
      <c r="C600" s="30">
        <f t="shared" si="43"/>
        <v>24</v>
      </c>
      <c r="D600" s="10">
        <f>+D113</f>
        <v>1</v>
      </c>
      <c r="F600" s="77">
        <f t="shared" si="42"/>
        <v>24</v>
      </c>
      <c r="I600" s="94"/>
      <c r="J600" s="93"/>
      <c r="K600" s="96"/>
    </row>
    <row r="601" spans="1:11" ht="15">
      <c r="A601" t="s">
        <v>314</v>
      </c>
      <c r="B601">
        <f>+C123/J25</f>
        <v>4</v>
      </c>
      <c r="C601" s="30">
        <f t="shared" si="43"/>
        <v>24</v>
      </c>
      <c r="D601" s="10">
        <f>+D123</f>
        <v>50</v>
      </c>
      <c r="F601" s="77">
        <f t="shared" si="42"/>
        <v>4800</v>
      </c>
      <c r="I601" s="94"/>
      <c r="J601" s="93"/>
      <c r="K601" s="96"/>
    </row>
    <row r="602" spans="1:10" ht="15">
      <c r="A602" t="s">
        <v>309</v>
      </c>
      <c r="B602">
        <f>+B601</f>
        <v>4</v>
      </c>
      <c r="C602" s="30">
        <f t="shared" si="43"/>
        <v>24</v>
      </c>
      <c r="D602" s="10">
        <f>+D124</f>
        <v>1</v>
      </c>
      <c r="F602" s="77">
        <f t="shared" si="42"/>
        <v>96</v>
      </c>
      <c r="H602" s="105"/>
      <c r="J602" s="76"/>
    </row>
    <row r="603" spans="1:9" ht="15">
      <c r="A603" t="s">
        <v>310</v>
      </c>
      <c r="B603">
        <f>+B601</f>
        <v>4</v>
      </c>
      <c r="C603" s="30">
        <f t="shared" si="43"/>
        <v>24</v>
      </c>
      <c r="D603" s="10">
        <f>+D125</f>
        <v>16</v>
      </c>
      <c r="F603" s="77">
        <f t="shared" si="42"/>
        <v>1536</v>
      </c>
      <c r="I603" s="76"/>
    </row>
    <row r="604" spans="1:9" ht="15">
      <c r="A604" t="s">
        <v>324</v>
      </c>
      <c r="B604" s="118">
        <f>+B178</f>
        <v>400</v>
      </c>
      <c r="C604" s="30">
        <f t="shared" si="43"/>
        <v>24</v>
      </c>
      <c r="D604" s="10">
        <f aca="true" t="shared" si="44" ref="D604:D621">+D178</f>
        <v>0.174</v>
      </c>
      <c r="F604" s="77">
        <f t="shared" si="42"/>
        <v>1670.3999999999999</v>
      </c>
      <c r="I604" s="76"/>
    </row>
    <row r="605" spans="1:9" ht="15">
      <c r="A605" t="s">
        <v>326</v>
      </c>
      <c r="B605" s="118">
        <f>+B179</f>
        <v>400</v>
      </c>
      <c r="C605" s="30">
        <f t="shared" si="43"/>
        <v>24</v>
      </c>
      <c r="D605" s="10">
        <f t="shared" si="44"/>
        <v>0.13</v>
      </c>
      <c r="F605" s="77">
        <f t="shared" si="42"/>
        <v>1248</v>
      </c>
      <c r="I605" s="76"/>
    </row>
    <row r="606" spans="1:9" ht="15">
      <c r="A606" t="s">
        <v>328</v>
      </c>
      <c r="B606" s="105">
        <v>26</v>
      </c>
      <c r="C606" s="30">
        <f>+C603</f>
        <v>24</v>
      </c>
      <c r="D606" s="10">
        <f t="shared" si="44"/>
        <v>0.5</v>
      </c>
      <c r="F606" s="77">
        <f t="shared" si="42"/>
        <v>312</v>
      </c>
      <c r="I606" s="76"/>
    </row>
    <row r="607" spans="1:9" ht="15">
      <c r="A607" t="s">
        <v>329</v>
      </c>
      <c r="B607" s="105">
        <f>+B606</f>
        <v>26</v>
      </c>
      <c r="C607" s="30">
        <f aca="true" t="shared" si="45" ref="C607:C628">+C606</f>
        <v>24</v>
      </c>
      <c r="D607" s="10">
        <f t="shared" si="44"/>
        <v>0.15</v>
      </c>
      <c r="F607" s="77">
        <f t="shared" si="42"/>
        <v>93.6</v>
      </c>
      <c r="I607" s="76"/>
    </row>
    <row r="608" spans="1:9" ht="15">
      <c r="A608" t="str">
        <f>+A546</f>
        <v>Ceramic Lights-2 per room</v>
      </c>
      <c r="B608" s="105">
        <v>14</v>
      </c>
      <c r="C608" s="30">
        <f t="shared" si="45"/>
        <v>24</v>
      </c>
      <c r="D608" s="10">
        <f t="shared" si="44"/>
        <v>0.55</v>
      </c>
      <c r="F608" s="77">
        <f t="shared" si="42"/>
        <v>184.8</v>
      </c>
      <c r="I608" s="76"/>
    </row>
    <row r="609" spans="1:9" ht="15">
      <c r="A609" t="s">
        <v>345</v>
      </c>
      <c r="B609" s="105">
        <f>+B608</f>
        <v>14</v>
      </c>
      <c r="C609" s="30">
        <f t="shared" si="45"/>
        <v>24</v>
      </c>
      <c r="D609" s="10">
        <f t="shared" si="44"/>
        <v>0.5</v>
      </c>
      <c r="F609" s="77">
        <f t="shared" si="42"/>
        <v>168</v>
      </c>
      <c r="I609" s="76"/>
    </row>
    <row r="610" spans="1:9" ht="15">
      <c r="A610" t="s">
        <v>346</v>
      </c>
      <c r="B610" s="105">
        <f>+B609</f>
        <v>14</v>
      </c>
      <c r="C610" s="30">
        <f t="shared" si="45"/>
        <v>24</v>
      </c>
      <c r="D610" s="10">
        <f t="shared" si="44"/>
        <v>0.15</v>
      </c>
      <c r="F610" s="77">
        <f t="shared" si="42"/>
        <v>50.4</v>
      </c>
      <c r="I610" s="76"/>
    </row>
    <row r="611" spans="1:9" ht="15">
      <c r="A611" t="s">
        <v>347</v>
      </c>
      <c r="B611" s="105">
        <v>3</v>
      </c>
      <c r="C611" s="30">
        <f t="shared" si="45"/>
        <v>24</v>
      </c>
      <c r="D611" s="10">
        <f t="shared" si="44"/>
        <v>0.55</v>
      </c>
      <c r="F611" s="77">
        <f t="shared" si="42"/>
        <v>39.6</v>
      </c>
      <c r="I611" s="76"/>
    </row>
    <row r="612" spans="1:9" ht="15">
      <c r="A612" t="s">
        <v>348</v>
      </c>
      <c r="B612" s="105">
        <v>3</v>
      </c>
      <c r="C612" s="30">
        <f t="shared" si="45"/>
        <v>24</v>
      </c>
      <c r="D612" s="10">
        <f t="shared" si="44"/>
        <v>0.5</v>
      </c>
      <c r="F612" s="77">
        <f t="shared" si="42"/>
        <v>36</v>
      </c>
      <c r="I612" s="76"/>
    </row>
    <row r="613" spans="1:9" ht="15">
      <c r="A613" t="s">
        <v>349</v>
      </c>
      <c r="B613" s="105">
        <v>3</v>
      </c>
      <c r="C613" s="30">
        <f t="shared" si="45"/>
        <v>24</v>
      </c>
      <c r="D613" s="10">
        <f t="shared" si="44"/>
        <v>0.15</v>
      </c>
      <c r="F613" s="77">
        <f t="shared" si="42"/>
        <v>10.799999999999999</v>
      </c>
      <c r="I613" s="76"/>
    </row>
    <row r="614" spans="1:9" ht="15">
      <c r="A614" t="s">
        <v>336</v>
      </c>
      <c r="B614" s="105">
        <f>+B606</f>
        <v>26</v>
      </c>
      <c r="C614" s="30">
        <f t="shared" si="45"/>
        <v>24</v>
      </c>
      <c r="D614" s="10">
        <f t="shared" si="44"/>
        <v>0.6</v>
      </c>
      <c r="F614" s="77">
        <f t="shared" si="42"/>
        <v>374.4</v>
      </c>
      <c r="I614" s="76"/>
    </row>
    <row r="615" spans="1:9" ht="15">
      <c r="A615" t="s">
        <v>337</v>
      </c>
      <c r="B615" s="105">
        <f>+B608+B611</f>
        <v>17</v>
      </c>
      <c r="C615" s="30">
        <f t="shared" si="45"/>
        <v>24</v>
      </c>
      <c r="D615" s="10">
        <f t="shared" si="44"/>
        <v>1</v>
      </c>
      <c r="F615" s="77">
        <f t="shared" si="42"/>
        <v>408</v>
      </c>
      <c r="I615" s="76"/>
    </row>
    <row r="616" spans="1:9" ht="15">
      <c r="A616" t="s">
        <v>338</v>
      </c>
      <c r="B616" s="105">
        <f>+B615</f>
        <v>17</v>
      </c>
      <c r="C616" s="30">
        <f t="shared" si="45"/>
        <v>24</v>
      </c>
      <c r="D616" s="10">
        <f t="shared" si="44"/>
        <v>0.8</v>
      </c>
      <c r="F616" s="77">
        <f t="shared" si="42"/>
        <v>326.40000000000003</v>
      </c>
      <c r="I616" s="76"/>
    </row>
    <row r="617" spans="1:9" ht="15">
      <c r="A617" t="s">
        <v>339</v>
      </c>
      <c r="B617" s="105">
        <v>1</v>
      </c>
      <c r="C617" s="30">
        <f t="shared" si="45"/>
        <v>24</v>
      </c>
      <c r="D617" s="10">
        <f t="shared" si="44"/>
        <v>30</v>
      </c>
      <c r="F617" s="77">
        <f t="shared" si="42"/>
        <v>720</v>
      </c>
      <c r="I617" s="76"/>
    </row>
    <row r="618" spans="1:9" ht="15">
      <c r="A618" t="s">
        <v>340</v>
      </c>
      <c r="B618" s="105">
        <v>4</v>
      </c>
      <c r="C618" s="30">
        <f t="shared" si="45"/>
        <v>24</v>
      </c>
      <c r="D618" s="10">
        <f t="shared" si="44"/>
        <v>5.25</v>
      </c>
      <c r="F618" s="77">
        <f t="shared" si="42"/>
        <v>504</v>
      </c>
      <c r="I618" s="76"/>
    </row>
    <row r="619" spans="1:9" ht="15">
      <c r="A619" t="s">
        <v>341</v>
      </c>
      <c r="B619" s="105">
        <v>1</v>
      </c>
      <c r="C619" s="30">
        <f t="shared" si="45"/>
        <v>24</v>
      </c>
      <c r="D619" s="10">
        <f t="shared" si="44"/>
        <v>52</v>
      </c>
      <c r="F619" s="77">
        <f t="shared" si="42"/>
        <v>1248</v>
      </c>
      <c r="I619" s="76"/>
    </row>
    <row r="620" spans="1:9" ht="15">
      <c r="A620" t="s">
        <v>342</v>
      </c>
      <c r="B620" s="105">
        <v>1</v>
      </c>
      <c r="C620" s="30">
        <f t="shared" si="45"/>
        <v>24</v>
      </c>
      <c r="D620" s="10">
        <f t="shared" si="44"/>
        <v>2.1</v>
      </c>
      <c r="F620" s="77">
        <f t="shared" si="42"/>
        <v>50.400000000000006</v>
      </c>
      <c r="I620" s="76"/>
    </row>
    <row r="621" spans="1:9" ht="15">
      <c r="A621" t="s">
        <v>343</v>
      </c>
      <c r="B621" s="105">
        <v>4</v>
      </c>
      <c r="C621" s="30">
        <f t="shared" si="45"/>
        <v>24</v>
      </c>
      <c r="D621" s="10">
        <f t="shared" si="44"/>
        <v>12.5</v>
      </c>
      <c r="F621" s="77">
        <f t="shared" si="42"/>
        <v>1200</v>
      </c>
      <c r="G621" s="154">
        <f>SUM(F604:F621)</f>
        <v>8644.8</v>
      </c>
      <c r="I621" s="76"/>
    </row>
    <row r="622" spans="1:9" ht="15">
      <c r="A622" t="s">
        <v>397</v>
      </c>
      <c r="B622">
        <v>1</v>
      </c>
      <c r="C622" s="30">
        <f t="shared" si="45"/>
        <v>24</v>
      </c>
      <c r="D622" s="10">
        <f>+D560</f>
        <v>165</v>
      </c>
      <c r="F622" s="77">
        <f t="shared" si="42"/>
        <v>3960</v>
      </c>
      <c r="I622" s="76"/>
    </row>
    <row r="623" spans="1:9" ht="15">
      <c r="A623" t="s">
        <v>398</v>
      </c>
      <c r="B623">
        <v>1</v>
      </c>
      <c r="C623" s="30">
        <f t="shared" si="45"/>
        <v>24</v>
      </c>
      <c r="D623" s="10">
        <f aca="true" t="shared" si="46" ref="D623:D629">+D561</f>
        <v>300</v>
      </c>
      <c r="F623" s="77">
        <f t="shared" si="42"/>
        <v>7200</v>
      </c>
      <c r="I623" s="76"/>
    </row>
    <row r="624" spans="1:9" ht="15">
      <c r="A624" t="s">
        <v>400</v>
      </c>
      <c r="B624">
        <v>1</v>
      </c>
      <c r="C624" s="30">
        <f t="shared" si="45"/>
        <v>24</v>
      </c>
      <c r="D624" s="10">
        <f t="shared" si="46"/>
        <v>150</v>
      </c>
      <c r="F624" s="77">
        <f t="shared" si="42"/>
        <v>3600</v>
      </c>
      <c r="I624" s="76"/>
    </row>
    <row r="625" spans="1:9" ht="15">
      <c r="A625" t="s">
        <v>401</v>
      </c>
      <c r="B625">
        <v>1</v>
      </c>
      <c r="C625" s="30">
        <f t="shared" si="45"/>
        <v>24</v>
      </c>
      <c r="D625" s="10">
        <f t="shared" si="46"/>
        <v>75</v>
      </c>
      <c r="F625" s="77">
        <f t="shared" si="42"/>
        <v>1800</v>
      </c>
      <c r="I625" s="76"/>
    </row>
    <row r="626" spans="1:9" ht="15">
      <c r="A626" t="s">
        <v>402</v>
      </c>
      <c r="B626">
        <v>1</v>
      </c>
      <c r="C626" s="30">
        <f t="shared" si="45"/>
        <v>24</v>
      </c>
      <c r="D626" s="10">
        <f t="shared" si="46"/>
        <v>75</v>
      </c>
      <c r="F626" s="77">
        <f t="shared" si="42"/>
        <v>1800</v>
      </c>
      <c r="I626" s="76"/>
    </row>
    <row r="627" spans="1:8" ht="15">
      <c r="A627" t="s">
        <v>403</v>
      </c>
      <c r="B627">
        <v>1</v>
      </c>
      <c r="C627" s="30">
        <f t="shared" si="45"/>
        <v>24</v>
      </c>
      <c r="D627" s="10">
        <f t="shared" si="46"/>
        <v>26</v>
      </c>
      <c r="E627" s="105"/>
      <c r="F627" s="77">
        <f t="shared" si="42"/>
        <v>624</v>
      </c>
      <c r="H627" s="76"/>
    </row>
    <row r="628" spans="1:6" ht="15">
      <c r="A628" t="s">
        <v>405</v>
      </c>
      <c r="B628">
        <v>1</v>
      </c>
      <c r="C628" s="30">
        <f t="shared" si="45"/>
        <v>24</v>
      </c>
      <c r="D628" s="10">
        <f t="shared" si="46"/>
        <v>1.55</v>
      </c>
      <c r="F628" s="77">
        <f t="shared" si="42"/>
        <v>37.2</v>
      </c>
    </row>
    <row r="629" spans="1:8" ht="15">
      <c r="A629" s="123" t="s">
        <v>406</v>
      </c>
      <c r="B629">
        <v>1</v>
      </c>
      <c r="C629" s="30">
        <f>+C628</f>
        <v>24</v>
      </c>
      <c r="D629" s="10">
        <f t="shared" si="46"/>
        <v>35</v>
      </c>
      <c r="F629" s="77">
        <f t="shared" si="42"/>
        <v>840</v>
      </c>
      <c r="G629" s="44"/>
      <c r="H629" s="156"/>
    </row>
    <row r="630" spans="3:8" ht="15">
      <c r="C630" s="10"/>
      <c r="F630" s="77"/>
      <c r="G630" s="44"/>
      <c r="H630" s="156"/>
    </row>
    <row r="631" spans="1:8" ht="15">
      <c r="A631" t="s">
        <v>372</v>
      </c>
      <c r="B631" s="105">
        <v>5</v>
      </c>
      <c r="C631">
        <f>+C629</f>
        <v>24</v>
      </c>
      <c r="D631" s="142">
        <v>4.6</v>
      </c>
      <c r="F631" s="77">
        <f t="shared" si="42"/>
        <v>552</v>
      </c>
      <c r="G631" s="44"/>
      <c r="H631" s="156"/>
    </row>
    <row r="632" spans="1:8" ht="15">
      <c r="A632" t="s">
        <v>374</v>
      </c>
      <c r="B632" s="105">
        <v>6</v>
      </c>
      <c r="C632">
        <f>+C631</f>
        <v>24</v>
      </c>
      <c r="D632" s="142">
        <v>1</v>
      </c>
      <c r="F632" s="77">
        <f t="shared" si="42"/>
        <v>144</v>
      </c>
      <c r="G632" s="44"/>
      <c r="H632" s="156"/>
    </row>
    <row r="633" spans="1:8" ht="15">
      <c r="A633" t="s">
        <v>375</v>
      </c>
      <c r="B633" s="105">
        <v>1</v>
      </c>
      <c r="C633">
        <f aca="true" t="shared" si="47" ref="C633:C647">+C631</f>
        <v>24</v>
      </c>
      <c r="D633" s="142">
        <v>10</v>
      </c>
      <c r="F633" s="77">
        <f t="shared" si="42"/>
        <v>240</v>
      </c>
      <c r="G633" s="44"/>
      <c r="H633" s="156"/>
    </row>
    <row r="634" spans="1:8" ht="15">
      <c r="A634" t="s">
        <v>376</v>
      </c>
      <c r="B634" s="105">
        <v>3</v>
      </c>
      <c r="C634">
        <f t="shared" si="47"/>
        <v>24</v>
      </c>
      <c r="D634" s="142">
        <v>5</v>
      </c>
      <c r="F634" s="77">
        <f t="shared" si="42"/>
        <v>360</v>
      </c>
      <c r="G634" s="44"/>
      <c r="H634" s="156"/>
    </row>
    <row r="635" spans="1:8" ht="15">
      <c r="A635" t="s">
        <v>377</v>
      </c>
      <c r="B635" s="105">
        <v>4</v>
      </c>
      <c r="C635">
        <f t="shared" si="47"/>
        <v>24</v>
      </c>
      <c r="D635" s="142">
        <v>5</v>
      </c>
      <c r="F635" s="77">
        <f t="shared" si="42"/>
        <v>480</v>
      </c>
      <c r="G635" s="44"/>
      <c r="H635" s="156"/>
    </row>
    <row r="636" spans="1:8" ht="15">
      <c r="A636" t="s">
        <v>378</v>
      </c>
      <c r="B636" s="105">
        <v>1</v>
      </c>
      <c r="C636">
        <f t="shared" si="47"/>
        <v>24</v>
      </c>
      <c r="D636" s="142">
        <v>1.6</v>
      </c>
      <c r="F636" s="77">
        <f t="shared" si="42"/>
        <v>38.400000000000006</v>
      </c>
      <c r="G636" s="44"/>
      <c r="H636" s="156"/>
    </row>
    <row r="637" spans="1:8" ht="15">
      <c r="A637" s="78" t="s">
        <v>379</v>
      </c>
      <c r="B637" s="105">
        <v>4</v>
      </c>
      <c r="C637">
        <f t="shared" si="47"/>
        <v>24</v>
      </c>
      <c r="D637" s="142">
        <v>1.25</v>
      </c>
      <c r="F637" s="77">
        <f t="shared" si="42"/>
        <v>120</v>
      </c>
      <c r="G637" s="44"/>
      <c r="H637" s="156"/>
    </row>
    <row r="638" spans="1:8" ht="15">
      <c r="A638" t="s">
        <v>380</v>
      </c>
      <c r="B638" s="105">
        <v>1</v>
      </c>
      <c r="C638">
        <f t="shared" si="47"/>
        <v>24</v>
      </c>
      <c r="D638" s="142">
        <v>50</v>
      </c>
      <c r="F638" s="77">
        <f t="shared" si="42"/>
        <v>1200</v>
      </c>
      <c r="G638" s="44"/>
      <c r="H638" s="156"/>
    </row>
    <row r="639" spans="1:8" ht="15">
      <c r="A639" t="str">
        <f>+A577</f>
        <v>Units-Shower: Blocks. Concrete, tile- shower area</v>
      </c>
      <c r="B639" s="105">
        <v>1</v>
      </c>
      <c r="C639">
        <f>+C638</f>
        <v>24</v>
      </c>
      <c r="D639" s="142">
        <f>+D577</f>
        <v>75</v>
      </c>
      <c r="F639" s="77">
        <f t="shared" si="42"/>
        <v>1800</v>
      </c>
      <c r="G639" s="44"/>
      <c r="H639" s="156"/>
    </row>
    <row r="640" spans="1:8" ht="15">
      <c r="A640" t="s">
        <v>381</v>
      </c>
      <c r="B640" s="105">
        <v>1</v>
      </c>
      <c r="C640">
        <f>+C637</f>
        <v>24</v>
      </c>
      <c r="D640" s="142">
        <v>26</v>
      </c>
      <c r="F640" s="77">
        <f t="shared" si="42"/>
        <v>624</v>
      </c>
      <c r="G640" s="44"/>
      <c r="H640" s="156"/>
    </row>
    <row r="641" spans="1:8" ht="15">
      <c r="A641" t="s">
        <v>382</v>
      </c>
      <c r="B641" s="105">
        <v>1</v>
      </c>
      <c r="C641">
        <f>+C638</f>
        <v>24</v>
      </c>
      <c r="D641" s="142">
        <v>45</v>
      </c>
      <c r="F641" s="77">
        <f t="shared" si="42"/>
        <v>1080</v>
      </c>
      <c r="G641" s="44"/>
      <c r="H641" s="156"/>
    </row>
    <row r="642" spans="1:8" ht="15">
      <c r="A642" t="s">
        <v>383</v>
      </c>
      <c r="B642" s="105">
        <v>1</v>
      </c>
      <c r="C642">
        <f t="shared" si="47"/>
        <v>24</v>
      </c>
      <c r="D642" s="142">
        <v>30</v>
      </c>
      <c r="F642" s="77">
        <f t="shared" si="42"/>
        <v>720</v>
      </c>
      <c r="G642" s="44"/>
      <c r="H642" s="156"/>
    </row>
    <row r="643" spans="1:8" ht="15">
      <c r="A643" t="s">
        <v>384</v>
      </c>
      <c r="B643" s="105">
        <v>1</v>
      </c>
      <c r="C643">
        <f t="shared" si="47"/>
        <v>24</v>
      </c>
      <c r="D643" s="142">
        <v>35</v>
      </c>
      <c r="F643" s="77">
        <f t="shared" si="42"/>
        <v>840</v>
      </c>
      <c r="G643" s="44"/>
      <c r="H643" s="156"/>
    </row>
    <row r="644" spans="3:8" ht="15">
      <c r="C644" s="10"/>
      <c r="F644" s="77"/>
      <c r="G644" s="44"/>
      <c r="H644" s="156"/>
    </row>
    <row r="645" spans="1:8" ht="15">
      <c r="A645" t="s">
        <v>416</v>
      </c>
      <c r="B645" s="105">
        <f>30*20</f>
        <v>600</v>
      </c>
      <c r="C645">
        <f t="shared" si="47"/>
        <v>24</v>
      </c>
      <c r="D645" s="10">
        <f>+D582</f>
        <v>1</v>
      </c>
      <c r="F645" s="77">
        <f t="shared" si="42"/>
        <v>14400</v>
      </c>
      <c r="G645" s="44"/>
      <c r="H645" s="156"/>
    </row>
    <row r="646" spans="1:8" ht="15">
      <c r="A646" t="s">
        <v>417</v>
      </c>
      <c r="B646" s="105">
        <f>+B640</f>
        <v>1</v>
      </c>
      <c r="C646">
        <f>+C645</f>
        <v>24</v>
      </c>
      <c r="D646" s="10">
        <f>+D583</f>
        <v>125</v>
      </c>
      <c r="F646" s="77">
        <f t="shared" si="42"/>
        <v>3000</v>
      </c>
      <c r="G646" s="44"/>
      <c r="H646" s="156"/>
    </row>
    <row r="647" spans="1:8" ht="15">
      <c r="A647" t="s">
        <v>418</v>
      </c>
      <c r="B647" s="105">
        <v>10</v>
      </c>
      <c r="C647">
        <f t="shared" si="47"/>
        <v>24</v>
      </c>
      <c r="D647" s="10">
        <f>+D584</f>
        <v>6.2</v>
      </c>
      <c r="F647" s="77">
        <f t="shared" si="42"/>
        <v>1488</v>
      </c>
      <c r="G647" s="44"/>
      <c r="H647" s="156"/>
    </row>
    <row r="648" spans="3:8" ht="15">
      <c r="C648" s="10"/>
      <c r="F648" s="77"/>
      <c r="G648" s="44"/>
      <c r="H648" s="156"/>
    </row>
    <row r="649" spans="1:8" ht="15">
      <c r="A649" t="s">
        <v>363</v>
      </c>
      <c r="B649" s="121">
        <v>1</v>
      </c>
      <c r="C649">
        <f>+C647</f>
        <v>24</v>
      </c>
      <c r="D649" s="76">
        <v>2000</v>
      </c>
      <c r="F649" s="77">
        <f t="shared" si="42"/>
        <v>48000</v>
      </c>
      <c r="G649" s="44"/>
      <c r="H649" s="156"/>
    </row>
    <row r="650" spans="2:8" ht="15">
      <c r="B650" s="121"/>
      <c r="D650" s="76"/>
      <c r="F650" s="77"/>
      <c r="G650" s="32" t="s">
        <v>473</v>
      </c>
      <c r="H650" s="157" t="s">
        <v>474</v>
      </c>
    </row>
    <row r="651" spans="1:8" ht="15">
      <c r="A651" s="158" t="s">
        <v>475</v>
      </c>
      <c r="G651" s="156">
        <f>SUM(F594:F651)</f>
        <v>232760.39999999997</v>
      </c>
      <c r="H651" s="159">
        <f>+G651/J25</f>
        <v>9698.349999999999</v>
      </c>
    </row>
    <row r="652" spans="1:8" ht="15">
      <c r="A652" s="158"/>
      <c r="H652" s="163"/>
    </row>
    <row r="653" spans="1:8" ht="15">
      <c r="A653" s="158" t="s">
        <v>476</v>
      </c>
      <c r="G653" s="44">
        <f>+G459</f>
        <v>171226.7166033689</v>
      </c>
      <c r="H653" s="159">
        <f>+H459</f>
        <v>7134.446525140371</v>
      </c>
    </row>
    <row r="654" spans="1:8" ht="15">
      <c r="A654" s="158"/>
      <c r="H654" s="163"/>
    </row>
    <row r="655" spans="1:8" ht="15">
      <c r="A655" s="158" t="s">
        <v>477</v>
      </c>
      <c r="G655" s="164">
        <f>SUM(G651:G653)</f>
        <v>403987.1166033689</v>
      </c>
      <c r="H655" s="165">
        <f>SUM(H651:H653)</f>
        <v>16832.79652514037</v>
      </c>
    </row>
    <row r="656" ht="15">
      <c r="H656" s="77"/>
    </row>
    <row r="657" spans="1:8" ht="15">
      <c r="A657" s="137" t="s">
        <v>480</v>
      </c>
      <c r="B657" s="137"/>
      <c r="C657" s="137"/>
      <c r="D657" s="137"/>
      <c r="E657" s="137"/>
      <c r="F657" s="137"/>
      <c r="G657" s="166">
        <f>+G655+G592+G530</f>
        <v>724999.9982644628</v>
      </c>
      <c r="H657" s="167"/>
    </row>
    <row r="658" ht="15">
      <c r="H658" s="77"/>
    </row>
    <row r="659" spans="1:11" ht="15.75">
      <c r="A659" s="168" t="s">
        <v>72</v>
      </c>
      <c r="B659" s="168"/>
      <c r="C659" s="168"/>
      <c r="D659" s="168"/>
      <c r="E659" s="168"/>
      <c r="F659" s="169">
        <f>SUM(F374:F657)-F457-F458-F459</f>
        <v>724999.9982644622</v>
      </c>
      <c r="G659" s="168"/>
      <c r="H659" s="168"/>
      <c r="K659" s="77" t="s">
        <v>80</v>
      </c>
    </row>
    <row r="660" ht="15">
      <c r="G660" s="10"/>
    </row>
    <row r="661" spans="1:13" ht="15">
      <c r="A661" s="97"/>
      <c r="B661" s="174"/>
      <c r="C661" s="174"/>
      <c r="D661" s="174"/>
      <c r="E661" s="174"/>
      <c r="F661" s="174"/>
      <c r="G661" s="97"/>
      <c r="H661" s="97"/>
      <c r="I661" s="97"/>
      <c r="J661" s="97"/>
      <c r="K661" s="97"/>
      <c r="L661" s="97"/>
      <c r="M661" s="97"/>
    </row>
    <row r="662" spans="1:13" ht="15">
      <c r="A662" s="97"/>
      <c r="B662" s="174"/>
      <c r="C662" s="174"/>
      <c r="D662" s="174"/>
      <c r="E662" s="174"/>
      <c r="F662" s="174"/>
      <c r="G662" s="97"/>
      <c r="H662" s="97"/>
      <c r="I662" s="97"/>
      <c r="J662" s="97"/>
      <c r="K662" s="97"/>
      <c r="L662" s="97"/>
      <c r="M662" s="97"/>
    </row>
    <row r="663" spans="1:13" ht="15">
      <c r="A663" s="97"/>
      <c r="B663" s="174"/>
      <c r="C663" s="174"/>
      <c r="D663" s="174"/>
      <c r="E663" s="174"/>
      <c r="F663" s="174"/>
      <c r="G663" s="97"/>
      <c r="H663" s="97"/>
      <c r="I663" s="97"/>
      <c r="J663" s="97"/>
      <c r="K663" s="97"/>
      <c r="L663" s="97"/>
      <c r="M663" s="97"/>
    </row>
    <row r="664" spans="1:13" ht="15">
      <c r="A664" s="97"/>
      <c r="B664" s="97"/>
      <c r="C664" s="97"/>
      <c r="D664" s="97"/>
      <c r="E664" s="97"/>
      <c r="F664" s="97"/>
      <c r="G664" s="97"/>
      <c r="H664" s="97"/>
      <c r="I664" s="97"/>
      <c r="J664" s="97"/>
      <c r="K664" s="97"/>
      <c r="L664" s="97"/>
      <c r="M664" s="97"/>
    </row>
    <row r="665" spans="1:13" ht="15">
      <c r="A665" s="97"/>
      <c r="B665" s="97"/>
      <c r="C665" s="97"/>
      <c r="D665" s="97"/>
      <c r="E665" s="97"/>
      <c r="F665" s="97"/>
      <c r="G665" s="97"/>
      <c r="H665" s="97"/>
      <c r="I665" s="97"/>
      <c r="J665" s="97"/>
      <c r="K665" s="97"/>
      <c r="L665" s="97"/>
      <c r="M665" s="97"/>
    </row>
    <row r="666" spans="1:13" ht="15">
      <c r="A666" s="93"/>
      <c r="B666" s="194"/>
      <c r="C666" s="194"/>
      <c r="D666" s="194"/>
      <c r="E666" s="100"/>
      <c r="F666" s="194"/>
      <c r="G666" s="97"/>
      <c r="H666" s="97"/>
      <c r="I666" s="97"/>
      <c r="J666" s="97"/>
      <c r="K666" s="97"/>
      <c r="L666" s="97"/>
      <c r="M666" s="97"/>
    </row>
    <row r="667" spans="1:13" ht="15">
      <c r="A667" s="97"/>
      <c r="B667" s="194"/>
      <c r="C667" s="194"/>
      <c r="D667" s="194"/>
      <c r="E667" s="100"/>
      <c r="F667" s="194"/>
      <c r="G667" s="97"/>
      <c r="H667" s="97"/>
      <c r="I667" s="97"/>
      <c r="J667" s="97"/>
      <c r="K667" s="97"/>
      <c r="L667" s="97"/>
      <c r="M667" s="97"/>
    </row>
    <row r="668" spans="1:13" ht="15">
      <c r="A668" s="97"/>
      <c r="B668" s="194"/>
      <c r="C668" s="194"/>
      <c r="D668" s="194"/>
      <c r="E668" s="100"/>
      <c r="F668" s="194"/>
      <c r="G668" s="97"/>
      <c r="H668" s="97"/>
      <c r="I668" s="97"/>
      <c r="J668" s="97"/>
      <c r="K668" s="97"/>
      <c r="L668" s="97"/>
      <c r="M668" s="97"/>
    </row>
    <row r="669" spans="1:13" ht="15">
      <c r="A669" s="97"/>
      <c r="B669" s="194"/>
      <c r="C669" s="194"/>
      <c r="D669" s="194"/>
      <c r="E669" s="100"/>
      <c r="F669" s="194"/>
      <c r="G669" s="97"/>
      <c r="H669" s="97"/>
      <c r="I669" s="97"/>
      <c r="J669" s="97"/>
      <c r="K669" s="97"/>
      <c r="L669" s="97"/>
      <c r="M669" s="97"/>
    </row>
    <row r="670" spans="1:13" ht="15">
      <c r="A670" s="97"/>
      <c r="B670" s="194"/>
      <c r="C670" s="194"/>
      <c r="D670" s="194"/>
      <c r="E670" s="100"/>
      <c r="F670" s="194"/>
      <c r="G670" s="97"/>
      <c r="H670" s="97"/>
      <c r="I670" s="97"/>
      <c r="J670" s="97"/>
      <c r="K670" s="97"/>
      <c r="L670" s="97"/>
      <c r="M670" s="97"/>
    </row>
    <row r="671" spans="1:13" ht="15">
      <c r="A671" s="97"/>
      <c r="B671" s="194"/>
      <c r="C671" s="194"/>
      <c r="D671" s="194"/>
      <c r="E671" s="194"/>
      <c r="F671" s="194"/>
      <c r="G671" s="97"/>
      <c r="H671" s="97"/>
      <c r="I671" s="97"/>
      <c r="J671" s="97"/>
      <c r="K671" s="97"/>
      <c r="L671" s="97"/>
      <c r="M671" s="97"/>
    </row>
    <row r="672" spans="1:13" ht="15">
      <c r="A672" s="97"/>
      <c r="B672" s="194"/>
      <c r="C672" s="194"/>
      <c r="D672" s="194"/>
      <c r="E672" s="194"/>
      <c r="F672" s="194"/>
      <c r="G672" s="97"/>
      <c r="H672" s="97"/>
      <c r="I672" s="97"/>
      <c r="J672" s="97"/>
      <c r="K672" s="97"/>
      <c r="L672" s="97"/>
      <c r="M672" s="97"/>
    </row>
    <row r="673" spans="1:13" ht="15">
      <c r="A673" s="97"/>
      <c r="B673" s="194"/>
      <c r="C673" s="194"/>
      <c r="D673" s="194"/>
      <c r="E673" s="194"/>
      <c r="F673" s="194"/>
      <c r="G673" s="97"/>
      <c r="H673" s="97"/>
      <c r="I673" s="97"/>
      <c r="J673" s="97"/>
      <c r="K673" s="97"/>
      <c r="L673" s="97"/>
      <c r="M673" s="97"/>
    </row>
    <row r="674" spans="1:13" ht="15">
      <c r="A674" s="97"/>
      <c r="B674" s="97"/>
      <c r="C674" s="97"/>
      <c r="D674" s="97"/>
      <c r="E674" s="97"/>
      <c r="F674" s="97"/>
      <c r="G674" s="97"/>
      <c r="H674" s="97"/>
      <c r="I674" s="97"/>
      <c r="J674" s="97"/>
      <c r="K674" s="97"/>
      <c r="L674" s="97"/>
      <c r="M674" s="97"/>
    </row>
    <row r="675" spans="1:13" ht="15">
      <c r="A675" s="97"/>
      <c r="B675" s="97"/>
      <c r="C675" s="97"/>
      <c r="D675" s="97"/>
      <c r="E675" s="97"/>
      <c r="F675" s="97"/>
      <c r="G675" s="97"/>
      <c r="H675" s="97"/>
      <c r="I675" s="97"/>
      <c r="J675" s="97"/>
      <c r="K675" s="97"/>
      <c r="L675" s="97"/>
      <c r="M675" s="97"/>
    </row>
    <row r="676" spans="1:13" ht="15">
      <c r="A676" s="97"/>
      <c r="B676" s="97"/>
      <c r="C676" s="97"/>
      <c r="D676" s="97"/>
      <c r="E676" s="97"/>
      <c r="F676" s="97"/>
      <c r="G676" s="97"/>
      <c r="H676" s="97"/>
      <c r="I676" s="97"/>
      <c r="J676" s="97"/>
      <c r="K676" s="97"/>
      <c r="L676" s="97"/>
      <c r="M676" s="97"/>
    </row>
    <row r="677" spans="1:13" ht="15">
      <c r="A677" s="97"/>
      <c r="B677" s="194"/>
      <c r="C677" s="194"/>
      <c r="D677" s="194"/>
      <c r="E677" s="194"/>
      <c r="F677" s="194"/>
      <c r="G677" s="97"/>
      <c r="H677" s="97"/>
      <c r="I677" s="97"/>
      <c r="J677" s="97"/>
      <c r="K677" s="97"/>
      <c r="L677" s="97"/>
      <c r="M677" s="97"/>
    </row>
    <row r="678" spans="1:13" ht="15">
      <c r="A678" s="97"/>
      <c r="B678" s="97"/>
      <c r="C678" s="97"/>
      <c r="D678" s="97"/>
      <c r="E678" s="97"/>
      <c r="F678" s="97"/>
      <c r="G678" s="97"/>
      <c r="H678" s="97"/>
      <c r="I678" s="97"/>
      <c r="J678" s="97"/>
      <c r="K678" s="97"/>
      <c r="L678" s="97"/>
      <c r="M678" s="97"/>
    </row>
    <row r="679" spans="1:13" ht="15">
      <c r="A679" s="97"/>
      <c r="B679" s="97"/>
      <c r="C679" s="97"/>
      <c r="D679" s="97"/>
      <c r="E679" s="97"/>
      <c r="F679" s="97"/>
      <c r="G679" s="97"/>
      <c r="H679" s="97"/>
      <c r="I679" s="97"/>
      <c r="J679" s="97"/>
      <c r="K679" s="97"/>
      <c r="L679" s="97"/>
      <c r="M679" s="97"/>
    </row>
    <row r="680" spans="1:13" ht="15">
      <c r="A680" s="97"/>
      <c r="B680" s="97"/>
      <c r="C680" s="97"/>
      <c r="D680" s="97"/>
      <c r="E680" s="97"/>
      <c r="F680" s="97"/>
      <c r="G680" s="97"/>
      <c r="H680" s="97"/>
      <c r="I680" s="97"/>
      <c r="J680" s="97"/>
      <c r="K680" s="97"/>
      <c r="L680" s="97"/>
      <c r="M680" s="97"/>
    </row>
    <row r="681" spans="1:13" ht="15">
      <c r="A681" s="97"/>
      <c r="B681" s="97"/>
      <c r="C681" s="97"/>
      <c r="D681" s="97"/>
      <c r="E681" s="97"/>
      <c r="F681" s="97"/>
      <c r="G681" s="97"/>
      <c r="H681" s="97"/>
      <c r="I681" s="97"/>
      <c r="J681" s="97"/>
      <c r="K681" s="97"/>
      <c r="L681" s="97"/>
      <c r="M681" s="97"/>
    </row>
    <row r="682" spans="1:13" ht="15">
      <c r="A682" s="97"/>
      <c r="B682" s="195"/>
      <c r="C682" s="195"/>
      <c r="D682" s="195"/>
      <c r="E682" s="195"/>
      <c r="F682" s="195"/>
      <c r="G682" s="97"/>
      <c r="H682" s="97"/>
      <c r="I682" s="97"/>
      <c r="J682" s="97"/>
      <c r="K682" s="97"/>
      <c r="L682" s="97"/>
      <c r="M682" s="97"/>
    </row>
    <row r="683" spans="1:13" ht="15">
      <c r="A683" s="93"/>
      <c r="B683" s="93"/>
      <c r="C683" s="93"/>
      <c r="D683" s="93"/>
      <c r="E683" s="93"/>
      <c r="F683" s="93"/>
      <c r="G683" s="97"/>
      <c r="H683" s="97"/>
      <c r="I683" s="97"/>
      <c r="J683" s="97"/>
      <c r="K683" s="97"/>
      <c r="L683" s="97"/>
      <c r="M683" s="97"/>
    </row>
    <row r="684" spans="1:13" ht="15">
      <c r="A684" s="93"/>
      <c r="B684" s="196"/>
      <c r="C684" s="196"/>
      <c r="D684" s="196"/>
      <c r="E684" s="196"/>
      <c r="F684" s="196"/>
      <c r="G684" s="97"/>
      <c r="H684" s="97"/>
      <c r="I684" s="97"/>
      <c r="J684" s="97"/>
      <c r="K684" s="97"/>
      <c r="L684" s="97"/>
      <c r="M684" s="97"/>
    </row>
    <row r="685" spans="1:13" ht="15">
      <c r="A685" s="93"/>
      <c r="B685" s="196"/>
      <c r="C685" s="196"/>
      <c r="D685" s="196"/>
      <c r="E685" s="196"/>
      <c r="F685" s="196"/>
      <c r="G685" s="174"/>
      <c r="H685" s="97"/>
      <c r="I685" s="97"/>
      <c r="J685" s="97"/>
      <c r="K685" s="97"/>
      <c r="L685" s="97"/>
      <c r="M685" s="97"/>
    </row>
    <row r="686" spans="1:13" ht="15">
      <c r="A686" s="93"/>
      <c r="B686" s="97"/>
      <c r="C686" s="174"/>
      <c r="D686" s="174"/>
      <c r="E686" s="174"/>
      <c r="F686" s="174"/>
      <c r="G686" s="174"/>
      <c r="H686" s="174"/>
      <c r="I686" s="174"/>
      <c r="J686" s="174"/>
      <c r="K686" s="174"/>
      <c r="L686" s="174"/>
      <c r="M686" s="97"/>
    </row>
    <row r="687" spans="1:13" ht="15">
      <c r="A687" s="93"/>
      <c r="B687" s="93"/>
      <c r="C687" s="174"/>
      <c r="D687" s="174"/>
      <c r="E687" s="174"/>
      <c r="F687" s="174"/>
      <c r="G687" s="97"/>
      <c r="H687" s="174"/>
      <c r="I687" s="174"/>
      <c r="J687" s="174"/>
      <c r="K687" s="174"/>
      <c r="L687" s="174"/>
      <c r="M687" s="97"/>
    </row>
    <row r="688" spans="1:13" ht="15">
      <c r="A688" s="93"/>
      <c r="B688" s="97"/>
      <c r="C688" s="97"/>
      <c r="D688" s="97"/>
      <c r="E688" s="97"/>
      <c r="F688" s="97"/>
      <c r="G688" s="197"/>
      <c r="H688" s="97"/>
      <c r="I688" s="97"/>
      <c r="J688" s="97"/>
      <c r="K688" s="97"/>
      <c r="L688" s="97"/>
      <c r="M688" s="97"/>
    </row>
    <row r="689" spans="1:13" ht="15">
      <c r="A689" s="93"/>
      <c r="B689" s="97"/>
      <c r="C689" s="97"/>
      <c r="D689" s="97"/>
      <c r="E689" s="197"/>
      <c r="F689" s="97"/>
      <c r="G689" s="197"/>
      <c r="H689" s="198"/>
      <c r="I689" s="97"/>
      <c r="J689" s="97"/>
      <c r="K689" s="97"/>
      <c r="L689" s="97"/>
      <c r="M689" s="97"/>
    </row>
    <row r="690" spans="1:13" ht="15">
      <c r="A690" s="93"/>
      <c r="B690" s="97"/>
      <c r="C690" s="97"/>
      <c r="D690" s="97"/>
      <c r="E690" s="197"/>
      <c r="F690" s="97"/>
      <c r="G690" s="97"/>
      <c r="H690" s="97"/>
      <c r="I690" s="97"/>
      <c r="J690" s="97"/>
      <c r="K690" s="97"/>
      <c r="L690" s="97"/>
      <c r="M690" s="97"/>
    </row>
    <row r="691" spans="1:13" ht="15">
      <c r="A691" s="93"/>
      <c r="B691" s="97"/>
      <c r="C691" s="97"/>
      <c r="D691" s="97"/>
      <c r="E691" s="97"/>
      <c r="F691" s="97"/>
      <c r="G691" s="97"/>
      <c r="H691" s="97"/>
      <c r="I691" s="97"/>
      <c r="J691" s="97"/>
      <c r="K691" s="97"/>
      <c r="L691" s="97"/>
      <c r="M691" s="97"/>
    </row>
    <row r="692" spans="1:13" ht="15">
      <c r="A692" s="93"/>
      <c r="B692" s="97"/>
      <c r="C692" s="97"/>
      <c r="D692" s="97"/>
      <c r="E692" s="97"/>
      <c r="F692" s="97"/>
      <c r="G692" s="97"/>
      <c r="H692" s="97"/>
      <c r="I692" s="97"/>
      <c r="J692" s="97"/>
      <c r="K692" s="97"/>
      <c r="L692" s="97"/>
      <c r="M692" s="97"/>
    </row>
    <row r="693" spans="1:13" ht="15">
      <c r="A693" s="93"/>
      <c r="B693" s="97"/>
      <c r="C693" s="97"/>
      <c r="D693" s="97"/>
      <c r="E693" s="97"/>
      <c r="F693" s="97"/>
      <c r="G693" s="199"/>
      <c r="H693" s="97"/>
      <c r="I693" s="97"/>
      <c r="J693" s="97"/>
      <c r="K693" s="97"/>
      <c r="L693" s="97"/>
      <c r="M693" s="97"/>
    </row>
    <row r="694" spans="1:13" ht="15">
      <c r="A694" s="93"/>
      <c r="B694" s="158"/>
      <c r="C694" s="158"/>
      <c r="D694" s="158"/>
      <c r="E694" s="158"/>
      <c r="F694" s="158"/>
      <c r="G694" s="97"/>
      <c r="H694" s="200"/>
      <c r="I694" s="200"/>
      <c r="J694" s="201"/>
      <c r="K694" s="158"/>
      <c r="L694" s="97"/>
      <c r="M694" s="97"/>
    </row>
    <row r="695" spans="1:13" ht="15">
      <c r="A695" s="93"/>
      <c r="B695" s="97"/>
      <c r="C695" s="97"/>
      <c r="D695" s="97"/>
      <c r="E695" s="97"/>
      <c r="F695" s="97"/>
      <c r="G695" s="97"/>
      <c r="H695" s="97"/>
      <c r="I695" s="97"/>
      <c r="J695" s="97"/>
      <c r="K695" s="97"/>
      <c r="L695" s="97"/>
      <c r="M695" s="97"/>
    </row>
    <row r="696" spans="1:13" ht="15">
      <c r="A696" s="93"/>
      <c r="B696" s="97"/>
      <c r="C696" s="97"/>
      <c r="D696" s="97"/>
      <c r="E696" s="97"/>
      <c r="F696" s="97"/>
      <c r="G696" s="97"/>
      <c r="H696" s="97"/>
      <c r="I696" s="97"/>
      <c r="J696" s="97"/>
      <c r="K696" s="97"/>
      <c r="L696" s="97"/>
      <c r="M696" s="97"/>
    </row>
    <row r="697" spans="1:13" ht="15">
      <c r="A697" s="93"/>
      <c r="B697" s="97"/>
      <c r="C697" s="97"/>
      <c r="D697" s="97"/>
      <c r="E697" s="97"/>
      <c r="F697" s="97"/>
      <c r="G697" s="97"/>
      <c r="H697" s="97"/>
      <c r="I697" s="97"/>
      <c r="J697" s="97"/>
      <c r="K697" s="97"/>
      <c r="L697" s="97"/>
      <c r="M697" s="97"/>
    </row>
    <row r="698" spans="1:13" ht="15">
      <c r="A698" s="93"/>
      <c r="B698" s="97"/>
      <c r="C698" s="97"/>
      <c r="D698" s="97"/>
      <c r="E698" s="97"/>
      <c r="F698" s="97"/>
      <c r="G698" s="97"/>
      <c r="H698" s="97"/>
      <c r="I698" s="97"/>
      <c r="J698" s="97"/>
      <c r="K698" s="97"/>
      <c r="L698" s="97"/>
      <c r="M698" s="97"/>
    </row>
    <row r="699" spans="1:13" ht="15">
      <c r="A699" s="93"/>
      <c r="B699" s="97"/>
      <c r="C699" s="97"/>
      <c r="D699" s="97"/>
      <c r="E699" s="97"/>
      <c r="F699" s="97"/>
      <c r="G699" s="97"/>
      <c r="H699" s="97"/>
      <c r="I699" s="97"/>
      <c r="J699" s="97"/>
      <c r="K699" s="97"/>
      <c r="L699" s="97"/>
      <c r="M699" s="97"/>
    </row>
    <row r="700" spans="1:13" ht="15">
      <c r="A700" s="93"/>
      <c r="B700" s="97"/>
      <c r="C700" s="97"/>
      <c r="D700" s="97"/>
      <c r="E700" s="97"/>
      <c r="F700" s="197"/>
      <c r="G700" s="97"/>
      <c r="H700" s="97"/>
      <c r="I700" s="97"/>
      <c r="J700" s="97"/>
      <c r="K700" s="97"/>
      <c r="L700" s="97"/>
      <c r="M700" s="97"/>
    </row>
    <row r="701" spans="1:13" ht="15">
      <c r="A701" s="93"/>
      <c r="B701" s="97"/>
      <c r="C701" s="97"/>
      <c r="D701" s="97"/>
      <c r="E701" s="97"/>
      <c r="F701" s="97"/>
      <c r="G701" s="97"/>
      <c r="H701" s="97"/>
      <c r="I701" s="97"/>
      <c r="J701" s="97"/>
      <c r="K701" s="97"/>
      <c r="L701" s="97"/>
      <c r="M701" s="97"/>
    </row>
    <row r="702" spans="1:13" ht="15">
      <c r="A702" s="93"/>
      <c r="B702" s="97"/>
      <c r="C702" s="97"/>
      <c r="D702" s="97"/>
      <c r="E702" s="97"/>
      <c r="F702" s="97"/>
      <c r="G702" s="97"/>
      <c r="H702" s="97"/>
      <c r="I702" s="97"/>
      <c r="J702" s="97"/>
      <c r="K702" s="97"/>
      <c r="L702" s="97"/>
      <c r="M702" s="97"/>
    </row>
    <row r="703" spans="1:13" ht="15">
      <c r="A703" s="93"/>
      <c r="B703" s="97"/>
      <c r="C703" s="97"/>
      <c r="D703" s="97"/>
      <c r="E703" s="97"/>
      <c r="F703" s="97"/>
      <c r="G703" s="97"/>
      <c r="H703" s="97"/>
      <c r="I703" s="97"/>
      <c r="J703" s="97"/>
      <c r="K703" s="97"/>
      <c r="L703" s="97"/>
      <c r="M703" s="97"/>
    </row>
    <row r="704" spans="1:13" ht="15">
      <c r="A704" s="93"/>
      <c r="B704" s="97"/>
      <c r="C704" s="97"/>
      <c r="D704" s="97"/>
      <c r="E704" s="97"/>
      <c r="F704" s="97"/>
      <c r="G704" s="97"/>
      <c r="H704" s="97"/>
      <c r="I704" s="97"/>
      <c r="J704" s="93"/>
      <c r="K704" s="93"/>
      <c r="L704" s="93"/>
      <c r="M704" s="93"/>
    </row>
    <row r="705" spans="1:13" ht="15">
      <c r="A705" s="93"/>
      <c r="B705" s="196"/>
      <c r="C705" s="196"/>
      <c r="D705" s="196"/>
      <c r="E705" s="196"/>
      <c r="F705" s="196"/>
      <c r="G705" s="97"/>
      <c r="H705" s="97"/>
      <c r="I705" s="97"/>
      <c r="J705" s="97"/>
      <c r="K705" s="97"/>
      <c r="L705" s="97"/>
      <c r="M705" s="97"/>
    </row>
    <row r="706" spans="1:13" ht="15">
      <c r="A706" s="93"/>
      <c r="B706" s="174"/>
      <c r="C706" s="174"/>
      <c r="D706" s="174"/>
      <c r="E706" s="174"/>
      <c r="F706" s="174"/>
      <c r="G706" s="97"/>
      <c r="H706" s="97"/>
      <c r="I706" s="97"/>
      <c r="J706" s="97"/>
      <c r="K706" s="97"/>
      <c r="L706" s="97"/>
      <c r="M706" s="97"/>
    </row>
    <row r="707" spans="1:13" ht="15">
      <c r="A707" s="93"/>
      <c r="B707" s="174"/>
      <c r="C707" s="174"/>
      <c r="D707" s="174"/>
      <c r="E707" s="174"/>
      <c r="F707" s="174"/>
      <c r="G707" s="97"/>
      <c r="H707" s="97"/>
      <c r="I707" s="97"/>
      <c r="J707" s="97"/>
      <c r="K707" s="97"/>
      <c r="L707" s="97"/>
      <c r="M707" s="97"/>
    </row>
    <row r="708" spans="1:13" ht="15">
      <c r="A708" s="97"/>
      <c r="B708" s="174"/>
      <c r="C708" s="174"/>
      <c r="D708" s="174"/>
      <c r="E708" s="174"/>
      <c r="F708" s="174"/>
      <c r="G708" s="97"/>
      <c r="H708" s="97"/>
      <c r="I708" s="97"/>
      <c r="J708" s="97"/>
      <c r="K708" s="97"/>
      <c r="L708" s="97"/>
      <c r="M708" s="97"/>
    </row>
    <row r="709" spans="1:13" ht="15">
      <c r="A709" s="93"/>
      <c r="B709" s="194"/>
      <c r="C709" s="194"/>
      <c r="D709" s="194"/>
      <c r="E709" s="100"/>
      <c r="F709" s="194"/>
      <c r="G709" s="97"/>
      <c r="H709" s="97"/>
      <c r="I709" s="97"/>
      <c r="J709" s="97"/>
      <c r="K709" s="97"/>
      <c r="L709" s="97"/>
      <c r="M709" s="97"/>
    </row>
    <row r="710" spans="1:13" ht="15">
      <c r="A710" s="97"/>
      <c r="B710" s="194"/>
      <c r="C710" s="194"/>
      <c r="D710" s="194"/>
      <c r="E710" s="100"/>
      <c r="F710" s="194"/>
      <c r="G710" s="97"/>
      <c r="H710" s="97"/>
      <c r="I710" s="97"/>
      <c r="J710" s="97"/>
      <c r="K710" s="97"/>
      <c r="L710" s="97"/>
      <c r="M710" s="97"/>
    </row>
    <row r="711" spans="1:13" ht="15">
      <c r="A711" s="97"/>
      <c r="B711" s="194"/>
      <c r="C711" s="194"/>
      <c r="D711" s="194"/>
      <c r="E711" s="100"/>
      <c r="F711" s="194"/>
      <c r="G711" s="97"/>
      <c r="H711" s="97"/>
      <c r="I711" s="97"/>
      <c r="J711" s="97"/>
      <c r="K711" s="97"/>
      <c r="L711" s="97"/>
      <c r="M711" s="97"/>
    </row>
    <row r="712" spans="1:13" ht="15">
      <c r="A712" s="97"/>
      <c r="B712" s="194"/>
      <c r="C712" s="194"/>
      <c r="D712" s="194"/>
      <c r="E712" s="100"/>
      <c r="F712" s="194"/>
      <c r="G712" s="97"/>
      <c r="H712" s="97"/>
      <c r="I712" s="97"/>
      <c r="J712" s="97"/>
      <c r="K712" s="97"/>
      <c r="L712" s="97"/>
      <c r="M712" s="97"/>
    </row>
    <row r="713" spans="1:13" ht="15">
      <c r="A713" s="97"/>
      <c r="B713" s="194"/>
      <c r="C713" s="194"/>
      <c r="D713" s="194"/>
      <c r="E713" s="100"/>
      <c r="F713" s="194"/>
      <c r="G713" s="97"/>
      <c r="H713" s="97"/>
      <c r="I713" s="97"/>
      <c r="J713" s="97"/>
      <c r="K713" s="97"/>
      <c r="L713" s="97"/>
      <c r="M713" s="97"/>
    </row>
    <row r="714" spans="1:13" ht="15">
      <c r="A714" s="97"/>
      <c r="B714" s="194"/>
      <c r="C714" s="194"/>
      <c r="D714" s="194"/>
      <c r="E714" s="194"/>
      <c r="F714" s="194"/>
      <c r="G714" s="97"/>
      <c r="H714" s="97"/>
      <c r="I714" s="97"/>
      <c r="J714" s="97"/>
      <c r="K714" s="97"/>
      <c r="L714" s="97"/>
      <c r="M714" s="97"/>
    </row>
    <row r="715" spans="1:13" ht="15">
      <c r="A715" s="97"/>
      <c r="B715" s="194"/>
      <c r="C715" s="194"/>
      <c r="D715" s="194"/>
      <c r="E715" s="194"/>
      <c r="F715" s="194"/>
      <c r="G715" s="97"/>
      <c r="H715" s="97"/>
      <c r="I715" s="97"/>
      <c r="J715" s="97"/>
      <c r="K715" s="97"/>
      <c r="L715" s="97"/>
      <c r="M715" s="97"/>
    </row>
    <row r="716" spans="1:13" ht="15">
      <c r="A716" s="97"/>
      <c r="B716" s="194"/>
      <c r="C716" s="194"/>
      <c r="D716" s="194"/>
      <c r="E716" s="194"/>
      <c r="F716" s="194"/>
      <c r="G716" s="97"/>
      <c r="H716" s="97"/>
      <c r="I716" s="97"/>
      <c r="J716" s="97"/>
      <c r="K716" s="97"/>
      <c r="L716" s="97"/>
      <c r="M716" s="97"/>
    </row>
    <row r="717" spans="1:13" ht="15">
      <c r="A717" s="97"/>
      <c r="B717" s="97"/>
      <c r="C717" s="97"/>
      <c r="D717" s="97"/>
      <c r="E717" s="97"/>
      <c r="F717" s="97"/>
      <c r="G717" s="97"/>
      <c r="H717" s="97"/>
      <c r="I717" s="97"/>
      <c r="J717" s="97"/>
      <c r="K717" s="97"/>
      <c r="L717" s="97"/>
      <c r="M717" s="97"/>
    </row>
    <row r="718" spans="1:13" ht="15">
      <c r="A718" s="97"/>
      <c r="B718" s="97"/>
      <c r="C718" s="97"/>
      <c r="D718" s="97"/>
      <c r="E718" s="97"/>
      <c r="F718" s="97"/>
      <c r="G718" s="97"/>
      <c r="H718" s="97"/>
      <c r="I718" s="97"/>
      <c r="J718" s="97"/>
      <c r="K718" s="97"/>
      <c r="L718" s="97"/>
      <c r="M718" s="97"/>
    </row>
    <row r="719" spans="1:13" ht="15">
      <c r="A719" s="97"/>
      <c r="B719" s="97"/>
      <c r="C719" s="97"/>
      <c r="D719" s="97"/>
      <c r="E719" s="97"/>
      <c r="F719" s="97"/>
      <c r="G719" s="97"/>
      <c r="H719" s="97"/>
      <c r="I719" s="97"/>
      <c r="J719" s="97"/>
      <c r="K719" s="97"/>
      <c r="L719" s="97"/>
      <c r="M719" s="97"/>
    </row>
    <row r="720" spans="1:13" ht="15">
      <c r="A720" s="97"/>
      <c r="B720" s="194"/>
      <c r="C720" s="194"/>
      <c r="D720" s="194"/>
      <c r="E720" s="194"/>
      <c r="F720" s="194"/>
      <c r="G720" s="97"/>
      <c r="H720" s="97"/>
      <c r="I720" s="97"/>
      <c r="J720" s="97"/>
      <c r="K720" s="97"/>
      <c r="L720" s="97"/>
      <c r="M720" s="97"/>
    </row>
    <row r="721" spans="1:13" ht="15">
      <c r="A721" s="97"/>
      <c r="B721" s="97"/>
      <c r="C721" s="97"/>
      <c r="D721" s="97"/>
      <c r="E721" s="97"/>
      <c r="F721" s="97"/>
      <c r="G721" s="97"/>
      <c r="H721" s="97"/>
      <c r="I721" s="97"/>
      <c r="J721" s="97"/>
      <c r="K721" s="97"/>
      <c r="L721" s="97"/>
      <c r="M721" s="97"/>
    </row>
    <row r="722" spans="1:13" ht="15">
      <c r="A722" s="97"/>
      <c r="B722" s="97"/>
      <c r="C722" s="97"/>
      <c r="D722" s="97"/>
      <c r="E722" s="97"/>
      <c r="F722" s="97"/>
      <c r="G722" s="97"/>
      <c r="H722" s="97"/>
      <c r="I722" s="97"/>
      <c r="J722" s="97"/>
      <c r="K722" s="97"/>
      <c r="L722" s="97"/>
      <c r="M722" s="97"/>
    </row>
    <row r="723" spans="1:13" ht="15">
      <c r="A723" s="97"/>
      <c r="B723" s="97"/>
      <c r="C723" s="97"/>
      <c r="D723" s="97"/>
      <c r="E723" s="97"/>
      <c r="F723" s="97"/>
      <c r="G723" s="97"/>
      <c r="H723" s="97"/>
      <c r="I723" s="97"/>
      <c r="J723" s="97"/>
      <c r="K723" s="97"/>
      <c r="L723" s="97"/>
      <c r="M723" s="97"/>
    </row>
    <row r="724" spans="1:13" ht="15">
      <c r="A724" s="97"/>
      <c r="B724" s="97"/>
      <c r="C724" s="97"/>
      <c r="D724" s="97"/>
      <c r="E724" s="97"/>
      <c r="F724" s="97"/>
      <c r="G724" s="97"/>
      <c r="H724" s="97"/>
      <c r="I724" s="97"/>
      <c r="J724" s="97"/>
      <c r="K724" s="97"/>
      <c r="L724" s="97"/>
      <c r="M724" s="97"/>
    </row>
    <row r="725" spans="1:13" ht="15">
      <c r="A725" s="97"/>
      <c r="B725" s="195"/>
      <c r="C725" s="195"/>
      <c r="D725" s="195"/>
      <c r="E725" s="195"/>
      <c r="F725" s="195"/>
      <c r="G725" s="97"/>
      <c r="H725" s="97"/>
      <c r="I725" s="97"/>
      <c r="J725" s="97"/>
      <c r="K725" s="97"/>
      <c r="L725" s="97"/>
      <c r="M725" s="97"/>
    </row>
    <row r="726" spans="1:13" ht="15">
      <c r="A726" s="93"/>
      <c r="B726" s="93"/>
      <c r="C726" s="93"/>
      <c r="D726" s="93"/>
      <c r="E726" s="93"/>
      <c r="F726" s="93"/>
      <c r="G726" s="97"/>
      <c r="H726" s="97"/>
      <c r="I726" s="97"/>
      <c r="J726" s="97"/>
      <c r="K726" s="97"/>
      <c r="L726" s="97"/>
      <c r="M726" s="97"/>
    </row>
    <row r="727" spans="1:13" ht="15">
      <c r="A727" s="93"/>
      <c r="B727" s="196"/>
      <c r="C727" s="196"/>
      <c r="D727" s="196"/>
      <c r="E727" s="196"/>
      <c r="F727" s="196"/>
      <c r="G727" s="97"/>
      <c r="H727" s="97"/>
      <c r="I727" s="97"/>
      <c r="J727" s="97"/>
      <c r="K727" s="97"/>
      <c r="L727" s="97"/>
      <c r="M727" s="97"/>
    </row>
    <row r="728" spans="1:13" ht="15">
      <c r="A728" s="93"/>
      <c r="B728" s="97"/>
      <c r="C728" s="97"/>
      <c r="D728" s="97"/>
      <c r="E728" s="97"/>
      <c r="F728" s="97"/>
      <c r="G728" s="97"/>
      <c r="H728" s="97"/>
      <c r="I728" s="97"/>
      <c r="J728" s="97"/>
      <c r="K728" s="97"/>
      <c r="L728" s="97"/>
      <c r="M728" s="97"/>
    </row>
    <row r="729" spans="1:13" ht="15">
      <c r="A729" s="97"/>
      <c r="B729" s="97"/>
      <c r="C729" s="97"/>
      <c r="D729" s="97"/>
      <c r="E729" s="97"/>
      <c r="F729" s="97"/>
      <c r="G729" s="97"/>
      <c r="H729" s="97"/>
      <c r="I729" s="97"/>
      <c r="J729" s="97"/>
      <c r="K729" s="97"/>
      <c r="L729" s="97"/>
      <c r="M729" s="97"/>
    </row>
    <row r="730" spans="1:13" ht="15">
      <c r="A730" s="97"/>
      <c r="B730" s="97"/>
      <c r="C730" s="97"/>
      <c r="D730" s="97"/>
      <c r="E730" s="97"/>
      <c r="F730" s="97"/>
      <c r="G730" s="174"/>
      <c r="H730" s="97"/>
      <c r="I730" s="97"/>
      <c r="J730" s="97"/>
      <c r="K730" s="97"/>
      <c r="L730" s="97"/>
      <c r="M730" s="97"/>
    </row>
    <row r="731" spans="1:13" ht="15">
      <c r="A731" s="97"/>
      <c r="B731" s="97"/>
      <c r="C731" s="174"/>
      <c r="D731" s="174"/>
      <c r="E731" s="174"/>
      <c r="F731" s="174"/>
      <c r="G731" s="174"/>
      <c r="H731" s="174"/>
      <c r="I731" s="174"/>
      <c r="J731" s="174"/>
      <c r="K731" s="97"/>
      <c r="L731" s="97"/>
      <c r="M731" s="97"/>
    </row>
    <row r="732" spans="1:13" ht="15">
      <c r="A732" s="93"/>
      <c r="B732" s="93"/>
      <c r="C732" s="174"/>
      <c r="D732" s="174"/>
      <c r="E732" s="174"/>
      <c r="F732" s="174"/>
      <c r="G732" s="97"/>
      <c r="H732" s="174"/>
      <c r="I732" s="174"/>
      <c r="J732" s="174"/>
      <c r="K732" s="97"/>
      <c r="L732" s="97"/>
      <c r="M732" s="97"/>
    </row>
    <row r="733" spans="1:13" ht="15">
      <c r="A733" s="93"/>
      <c r="B733" s="97"/>
      <c r="C733" s="97"/>
      <c r="D733" s="97"/>
      <c r="E733" s="97"/>
      <c r="F733" s="97"/>
      <c r="G733" s="197"/>
      <c r="H733" s="97"/>
      <c r="I733" s="97"/>
      <c r="J733" s="97"/>
      <c r="K733" s="97"/>
      <c r="L733" s="97"/>
      <c r="M733" s="97"/>
    </row>
    <row r="734" spans="1:13" ht="15">
      <c r="A734" s="93"/>
      <c r="B734" s="97"/>
      <c r="C734" s="97"/>
      <c r="D734" s="97"/>
      <c r="E734" s="197"/>
      <c r="F734" s="97"/>
      <c r="G734" s="197"/>
      <c r="H734" s="198"/>
      <c r="I734" s="97"/>
      <c r="J734" s="97"/>
      <c r="K734" s="97"/>
      <c r="L734" s="97"/>
      <c r="M734" s="97"/>
    </row>
    <row r="735" spans="1:13" ht="15">
      <c r="A735" s="93"/>
      <c r="B735" s="97"/>
      <c r="C735" s="97"/>
      <c r="D735" s="97"/>
      <c r="E735" s="197"/>
      <c r="F735" s="97"/>
      <c r="G735" s="97"/>
      <c r="H735" s="97"/>
      <c r="I735" s="97"/>
      <c r="J735" s="97"/>
      <c r="K735" s="97"/>
      <c r="L735" s="97"/>
      <c r="M735" s="97"/>
    </row>
    <row r="736" spans="1:13" ht="15">
      <c r="A736" s="93"/>
      <c r="B736" s="97"/>
      <c r="C736" s="97"/>
      <c r="D736" s="97"/>
      <c r="E736" s="97"/>
      <c r="F736" s="97"/>
      <c r="G736" s="97"/>
      <c r="H736" s="97"/>
      <c r="I736" s="97"/>
      <c r="J736" s="97"/>
      <c r="K736" s="97"/>
      <c r="L736" s="97"/>
      <c r="M736" s="97"/>
    </row>
    <row r="737" spans="1:13" ht="15">
      <c r="A737" s="93"/>
      <c r="B737" s="97"/>
      <c r="C737" s="97"/>
      <c r="D737" s="97"/>
      <c r="E737" s="97"/>
      <c r="F737" s="97"/>
      <c r="G737" s="97"/>
      <c r="H737" s="97"/>
      <c r="I737" s="97"/>
      <c r="J737" s="97"/>
      <c r="K737" s="97"/>
      <c r="L737" s="97"/>
      <c r="M737" s="97"/>
    </row>
    <row r="738" spans="1:13" ht="15">
      <c r="A738" s="93"/>
      <c r="B738" s="97"/>
      <c r="C738" s="97"/>
      <c r="D738" s="97"/>
      <c r="E738" s="97"/>
      <c r="F738" s="97"/>
      <c r="G738" s="199"/>
      <c r="H738" s="97"/>
      <c r="I738" s="97"/>
      <c r="J738" s="97"/>
      <c r="K738" s="97"/>
      <c r="L738" s="97"/>
      <c r="M738" s="97"/>
    </row>
    <row r="739" spans="1:13" ht="15">
      <c r="A739" s="93"/>
      <c r="B739" s="158"/>
      <c r="C739" s="158"/>
      <c r="D739" s="158"/>
      <c r="E739" s="158"/>
      <c r="F739" s="158"/>
      <c r="G739" s="97"/>
      <c r="H739" s="200"/>
      <c r="I739" s="200"/>
      <c r="J739" s="201"/>
      <c r="K739" s="97"/>
      <c r="L739" s="97"/>
      <c r="M739" s="97"/>
    </row>
    <row r="740" spans="1:13" ht="15">
      <c r="A740" s="93"/>
      <c r="B740" s="97"/>
      <c r="C740" s="97"/>
      <c r="D740" s="97"/>
      <c r="E740" s="97"/>
      <c r="F740" s="97"/>
      <c r="G740" s="97"/>
      <c r="H740" s="97"/>
      <c r="I740" s="97"/>
      <c r="J740" s="97"/>
      <c r="K740" s="97"/>
      <c r="L740" s="97"/>
      <c r="M740" s="97"/>
    </row>
    <row r="741" spans="1:13" ht="15">
      <c r="A741" s="93"/>
      <c r="B741" s="97"/>
      <c r="C741" s="97"/>
      <c r="D741" s="97"/>
      <c r="E741" s="97"/>
      <c r="F741" s="97"/>
      <c r="G741" s="97"/>
      <c r="H741" s="97"/>
      <c r="I741" s="97"/>
      <c r="J741" s="97"/>
      <c r="K741" s="97"/>
      <c r="L741" s="97"/>
      <c r="M741" s="97"/>
    </row>
    <row r="742" spans="1:13" ht="15">
      <c r="A742" s="93"/>
      <c r="B742" s="97"/>
      <c r="C742" s="97"/>
      <c r="D742" s="97"/>
      <c r="E742" s="97"/>
      <c r="F742" s="97"/>
      <c r="G742" s="97"/>
      <c r="H742" s="97"/>
      <c r="I742" s="97"/>
      <c r="J742" s="97"/>
      <c r="K742" s="97"/>
      <c r="L742" s="97"/>
      <c r="M742" s="97"/>
    </row>
    <row r="743" spans="1:13" ht="15">
      <c r="A743" s="93"/>
      <c r="B743" s="97"/>
      <c r="C743" s="97"/>
      <c r="D743" s="97"/>
      <c r="E743" s="97"/>
      <c r="F743" s="97"/>
      <c r="G743" s="97"/>
      <c r="H743" s="97"/>
      <c r="I743" s="97"/>
      <c r="J743" s="97"/>
      <c r="K743" s="97"/>
      <c r="L743" s="97"/>
      <c r="M743" s="97"/>
    </row>
    <row r="744" spans="1:13" ht="15">
      <c r="A744" s="93"/>
      <c r="B744" s="97"/>
      <c r="C744" s="97"/>
      <c r="D744" s="97"/>
      <c r="E744" s="97"/>
      <c r="F744" s="97"/>
      <c r="G744" s="97"/>
      <c r="H744" s="97"/>
      <c r="I744" s="97"/>
      <c r="J744" s="97"/>
      <c r="K744" s="97"/>
      <c r="L744" s="97"/>
      <c r="M744" s="97"/>
    </row>
    <row r="745" spans="1:13" ht="15">
      <c r="A745" s="93"/>
      <c r="B745" s="97"/>
      <c r="C745" s="97"/>
      <c r="D745" s="97"/>
      <c r="E745" s="97"/>
      <c r="F745" s="197"/>
      <c r="G745" s="97"/>
      <c r="H745" s="97"/>
      <c r="I745" s="97"/>
      <c r="J745" s="97"/>
      <c r="K745" s="97"/>
      <c r="L745" s="97"/>
      <c r="M745" s="97"/>
    </row>
    <row r="746" spans="1:13" ht="15">
      <c r="A746" s="93"/>
      <c r="B746" s="97"/>
      <c r="C746" s="97"/>
      <c r="D746" s="97"/>
      <c r="E746" s="97"/>
      <c r="F746" s="97"/>
      <c r="G746" s="97"/>
      <c r="H746" s="97"/>
      <c r="I746" s="97"/>
      <c r="J746" s="97"/>
      <c r="K746" s="97"/>
      <c r="L746" s="97"/>
      <c r="M746" s="97"/>
    </row>
    <row r="747" spans="1:13" ht="15">
      <c r="A747" s="93"/>
      <c r="B747" s="97"/>
      <c r="C747" s="97"/>
      <c r="D747" s="97"/>
      <c r="E747" s="97"/>
      <c r="F747" s="97"/>
      <c r="G747" s="97"/>
      <c r="H747" s="97"/>
      <c r="I747" s="97"/>
      <c r="J747" s="97"/>
      <c r="K747" s="97"/>
      <c r="L747" s="97"/>
      <c r="M747" s="97"/>
    </row>
    <row r="748" spans="1:13" ht="15">
      <c r="A748" s="93"/>
      <c r="B748" s="97"/>
      <c r="C748" s="97"/>
      <c r="D748" s="97"/>
      <c r="E748" s="97"/>
      <c r="F748" s="97"/>
      <c r="G748" s="97"/>
      <c r="H748" s="97"/>
      <c r="I748" s="97"/>
      <c r="J748" s="97"/>
      <c r="K748" s="97"/>
      <c r="L748" s="97"/>
      <c r="M748" s="97"/>
    </row>
    <row r="749" spans="1:13" ht="15">
      <c r="A749" s="93"/>
      <c r="B749" s="97"/>
      <c r="C749" s="97"/>
      <c r="D749" s="97"/>
      <c r="E749" s="97"/>
      <c r="F749" s="97"/>
      <c r="G749" s="97"/>
      <c r="H749" s="97"/>
      <c r="I749" s="97"/>
      <c r="J749" s="93"/>
      <c r="K749" s="93"/>
      <c r="L749" s="97"/>
      <c r="M749" s="97"/>
    </row>
    <row r="750" spans="1:13" ht="15">
      <c r="A750" s="93"/>
      <c r="B750" s="196"/>
      <c r="C750" s="196"/>
      <c r="D750" s="196"/>
      <c r="E750" s="196"/>
      <c r="F750" s="196"/>
      <c r="G750" s="97"/>
      <c r="H750" s="97"/>
      <c r="I750" s="97"/>
      <c r="J750" s="97"/>
      <c r="K750" s="97"/>
      <c r="L750" s="97"/>
      <c r="M750" s="97"/>
    </row>
    <row r="751" spans="1:13" ht="15">
      <c r="A751" s="93"/>
      <c r="B751" s="174"/>
      <c r="C751" s="174"/>
      <c r="D751" s="174"/>
      <c r="E751" s="174"/>
      <c r="F751" s="174"/>
      <c r="G751" s="97"/>
      <c r="H751" s="97"/>
      <c r="I751" s="97"/>
      <c r="J751" s="97"/>
      <c r="K751" s="97"/>
      <c r="L751" s="97"/>
      <c r="M751" s="97"/>
    </row>
    <row r="752" spans="1:13" ht="15">
      <c r="A752" s="93"/>
      <c r="B752" s="174"/>
      <c r="C752" s="174"/>
      <c r="D752" s="174"/>
      <c r="E752" s="174"/>
      <c r="F752" s="174"/>
      <c r="G752" s="97"/>
      <c r="H752" s="97"/>
      <c r="I752" s="97"/>
      <c r="J752" s="97"/>
      <c r="K752" s="97"/>
      <c r="L752" s="97"/>
      <c r="M752" s="97"/>
    </row>
    <row r="753" spans="1:13" ht="15">
      <c r="A753" s="97"/>
      <c r="B753" s="174"/>
      <c r="C753" s="174"/>
      <c r="D753" s="174"/>
      <c r="E753" s="174"/>
      <c r="F753" s="174"/>
      <c r="G753" s="97"/>
      <c r="H753" s="97"/>
      <c r="I753" s="97"/>
      <c r="J753" s="97"/>
      <c r="K753" s="97"/>
      <c r="L753" s="97"/>
      <c r="M753" s="97"/>
    </row>
    <row r="754" spans="1:13" ht="15">
      <c r="A754" s="93"/>
      <c r="B754" s="194"/>
      <c r="C754" s="194"/>
      <c r="D754" s="194"/>
      <c r="E754" s="100"/>
      <c r="F754" s="194"/>
      <c r="G754" s="97"/>
      <c r="H754" s="97"/>
      <c r="I754" s="97"/>
      <c r="J754" s="97"/>
      <c r="K754" s="97"/>
      <c r="L754" s="97"/>
      <c r="M754" s="97"/>
    </row>
    <row r="755" spans="1:13" ht="15">
      <c r="A755" s="97"/>
      <c r="B755" s="194"/>
      <c r="C755" s="194"/>
      <c r="D755" s="194"/>
      <c r="E755" s="100"/>
      <c r="F755" s="194"/>
      <c r="G755" s="97"/>
      <c r="H755" s="97"/>
      <c r="I755" s="97"/>
      <c r="J755" s="97"/>
      <c r="K755" s="97"/>
      <c r="L755" s="97"/>
      <c r="M755" s="97"/>
    </row>
    <row r="756" spans="1:13" ht="15">
      <c r="A756" s="97"/>
      <c r="B756" s="194"/>
      <c r="C756" s="194"/>
      <c r="D756" s="194"/>
      <c r="E756" s="100"/>
      <c r="F756" s="194"/>
      <c r="G756" s="97"/>
      <c r="H756" s="97"/>
      <c r="I756" s="97"/>
      <c r="J756" s="97"/>
      <c r="K756" s="97"/>
      <c r="L756" s="97"/>
      <c r="M756" s="97"/>
    </row>
    <row r="757" spans="1:13" ht="15">
      <c r="A757" s="97"/>
      <c r="B757" s="194"/>
      <c r="C757" s="194"/>
      <c r="D757" s="194"/>
      <c r="E757" s="100"/>
      <c r="F757" s="194"/>
      <c r="G757" s="97"/>
      <c r="H757" s="97"/>
      <c r="I757" s="97"/>
      <c r="J757" s="97"/>
      <c r="K757" s="97"/>
      <c r="L757" s="97"/>
      <c r="M757" s="97"/>
    </row>
    <row r="758" spans="1:13" ht="15">
      <c r="A758" s="97"/>
      <c r="B758" s="194"/>
      <c r="C758" s="194"/>
      <c r="D758" s="194"/>
      <c r="E758" s="100"/>
      <c r="F758" s="194"/>
      <c r="G758" s="97"/>
      <c r="H758" s="97"/>
      <c r="I758" s="97"/>
      <c r="J758" s="97"/>
      <c r="K758" s="97"/>
      <c r="L758" s="97"/>
      <c r="M758" s="97"/>
    </row>
    <row r="759" spans="1:13" ht="15">
      <c r="A759" s="97"/>
      <c r="B759" s="194"/>
      <c r="C759" s="194"/>
      <c r="D759" s="194"/>
      <c r="E759" s="194"/>
      <c r="F759" s="194"/>
      <c r="G759" s="97"/>
      <c r="H759" s="97"/>
      <c r="I759" s="97"/>
      <c r="J759" s="97"/>
      <c r="K759" s="97"/>
      <c r="L759" s="97"/>
      <c r="M759" s="97"/>
    </row>
    <row r="760" spans="1:13" ht="15">
      <c r="A760" s="97"/>
      <c r="B760" s="194"/>
      <c r="C760" s="194"/>
      <c r="D760" s="194"/>
      <c r="E760" s="194"/>
      <c r="F760" s="194"/>
      <c r="G760" s="97"/>
      <c r="H760" s="97"/>
      <c r="I760" s="97"/>
      <c r="J760" s="97"/>
      <c r="K760" s="97"/>
      <c r="L760" s="97"/>
      <c r="M760" s="97"/>
    </row>
    <row r="761" spans="1:13" ht="15">
      <c r="A761" s="97"/>
      <c r="B761" s="194"/>
      <c r="C761" s="194"/>
      <c r="D761" s="194"/>
      <c r="E761" s="194"/>
      <c r="F761" s="194"/>
      <c r="G761" s="97"/>
      <c r="H761" s="97"/>
      <c r="I761" s="97"/>
      <c r="J761" s="97"/>
      <c r="K761" s="97"/>
      <c r="L761" s="97"/>
      <c r="M761" s="97"/>
    </row>
    <row r="762" spans="1:13" ht="15">
      <c r="A762" s="97"/>
      <c r="B762" s="97"/>
      <c r="C762" s="97"/>
      <c r="D762" s="97"/>
      <c r="E762" s="97"/>
      <c r="F762" s="97"/>
      <c r="G762" s="97"/>
      <c r="H762" s="97"/>
      <c r="I762" s="97"/>
      <c r="J762" s="97"/>
      <c r="K762" s="97"/>
      <c r="L762" s="97"/>
      <c r="M762" s="97"/>
    </row>
    <row r="763" spans="1:13" ht="15">
      <c r="A763" s="97"/>
      <c r="B763" s="97"/>
      <c r="C763" s="97"/>
      <c r="D763" s="97"/>
      <c r="E763" s="97"/>
      <c r="F763" s="97"/>
      <c r="G763" s="97"/>
      <c r="H763" s="97"/>
      <c r="I763" s="97"/>
      <c r="J763" s="97"/>
      <c r="K763" s="97"/>
      <c r="L763" s="97"/>
      <c r="M763" s="97"/>
    </row>
    <row r="764" spans="1:13" ht="15">
      <c r="A764" s="97"/>
      <c r="B764" s="97"/>
      <c r="C764" s="97"/>
      <c r="D764" s="97"/>
      <c r="E764" s="97"/>
      <c r="F764" s="97"/>
      <c r="G764" s="97"/>
      <c r="H764" s="97"/>
      <c r="I764" s="97"/>
      <c r="J764" s="97"/>
      <c r="K764" s="97"/>
      <c r="L764" s="97"/>
      <c r="M764" s="97"/>
    </row>
    <row r="765" spans="1:13" ht="15">
      <c r="A765" s="97"/>
      <c r="B765" s="194"/>
      <c r="C765" s="194"/>
      <c r="D765" s="194"/>
      <c r="E765" s="194"/>
      <c r="F765" s="194"/>
      <c r="G765" s="97"/>
      <c r="H765" s="97"/>
      <c r="I765" s="97"/>
      <c r="J765" s="97"/>
      <c r="K765" s="97"/>
      <c r="L765" s="97"/>
      <c r="M765" s="97"/>
    </row>
    <row r="766" spans="1:13" ht="15">
      <c r="A766" s="97"/>
      <c r="B766" s="97"/>
      <c r="C766" s="97"/>
      <c r="D766" s="97"/>
      <c r="E766" s="97"/>
      <c r="F766" s="97"/>
      <c r="G766" s="97"/>
      <c r="H766" s="97"/>
      <c r="I766" s="97"/>
      <c r="J766" s="97"/>
      <c r="K766" s="97"/>
      <c r="L766" s="97"/>
      <c r="M766" s="97"/>
    </row>
    <row r="767" spans="1:13" ht="15">
      <c r="A767" s="97"/>
      <c r="B767" s="97"/>
      <c r="C767" s="97"/>
      <c r="D767" s="97"/>
      <c r="E767" s="97"/>
      <c r="F767" s="97"/>
      <c r="G767" s="97"/>
      <c r="H767" s="97"/>
      <c r="I767" s="97"/>
      <c r="J767" s="97"/>
      <c r="K767" s="97"/>
      <c r="L767" s="97"/>
      <c r="M767" s="97"/>
    </row>
    <row r="768" spans="1:13" ht="15">
      <c r="A768" s="97"/>
      <c r="B768" s="97"/>
      <c r="C768" s="97"/>
      <c r="D768" s="97"/>
      <c r="E768" s="97"/>
      <c r="F768" s="97"/>
      <c r="G768" s="97"/>
      <c r="H768" s="97"/>
      <c r="I768" s="97"/>
      <c r="J768" s="97"/>
      <c r="K768" s="97"/>
      <c r="L768" s="97"/>
      <c r="M768" s="97"/>
    </row>
    <row r="769" spans="1:13" ht="15">
      <c r="A769" s="97"/>
      <c r="B769" s="97"/>
      <c r="C769" s="97"/>
      <c r="D769" s="97"/>
      <c r="E769" s="97"/>
      <c r="F769" s="97"/>
      <c r="G769" s="97"/>
      <c r="H769" s="97"/>
      <c r="I769" s="97"/>
      <c r="J769" s="97"/>
      <c r="K769" s="97"/>
      <c r="L769" s="97"/>
      <c r="M769" s="97"/>
    </row>
    <row r="770" spans="1:13" ht="15">
      <c r="A770" s="97"/>
      <c r="B770" s="195"/>
      <c r="C770" s="195"/>
      <c r="D770" s="195"/>
      <c r="E770" s="195"/>
      <c r="F770" s="195"/>
      <c r="G770" s="97"/>
      <c r="H770" s="97"/>
      <c r="I770" s="97"/>
      <c r="J770" s="97"/>
      <c r="K770" s="97"/>
      <c r="L770" s="97"/>
      <c r="M770" s="97"/>
    </row>
    <row r="771" spans="1:13" ht="15">
      <c r="A771" s="93"/>
      <c r="B771" s="93"/>
      <c r="C771" s="93"/>
      <c r="D771" s="93"/>
      <c r="E771" s="93"/>
      <c r="F771" s="93"/>
      <c r="G771" s="97"/>
      <c r="H771" s="97"/>
      <c r="I771" s="97"/>
      <c r="J771" s="97"/>
      <c r="K771" s="97"/>
      <c r="L771" s="97"/>
      <c r="M771" s="97"/>
    </row>
    <row r="772" spans="1:13" ht="15">
      <c r="A772" s="93"/>
      <c r="B772" s="196"/>
      <c r="C772" s="196"/>
      <c r="D772" s="196"/>
      <c r="E772" s="196"/>
      <c r="F772" s="196"/>
      <c r="G772" s="97"/>
      <c r="H772" s="97"/>
      <c r="I772" s="97"/>
      <c r="J772" s="97"/>
      <c r="K772" s="97"/>
      <c r="L772" s="97"/>
      <c r="M772" s="97"/>
    </row>
    <row r="773" spans="1:13" ht="15">
      <c r="A773" s="93"/>
      <c r="B773" s="97"/>
      <c r="C773" s="97"/>
      <c r="D773" s="97"/>
      <c r="E773" s="97"/>
      <c r="F773" s="97"/>
      <c r="G773" s="97"/>
      <c r="H773" s="97"/>
      <c r="I773" s="97"/>
      <c r="J773" s="97"/>
      <c r="K773" s="97"/>
      <c r="L773" s="97"/>
      <c r="M773" s="97"/>
    </row>
    <row r="774" spans="1:13" ht="15">
      <c r="A774" s="97"/>
      <c r="B774" s="97"/>
      <c r="C774" s="97"/>
      <c r="D774" s="97"/>
      <c r="E774" s="97"/>
      <c r="F774" s="97"/>
      <c r="G774" s="174"/>
      <c r="H774" s="97"/>
      <c r="I774" s="97"/>
      <c r="J774" s="97"/>
      <c r="K774" s="97"/>
      <c r="L774" s="97"/>
      <c r="M774" s="97"/>
    </row>
    <row r="775" spans="1:13" ht="15">
      <c r="A775" s="97"/>
      <c r="B775" s="97"/>
      <c r="C775" s="174"/>
      <c r="D775" s="174"/>
      <c r="E775" s="174"/>
      <c r="F775" s="174"/>
      <c r="G775" s="174"/>
      <c r="H775" s="174"/>
      <c r="I775" s="174"/>
      <c r="J775" s="174"/>
      <c r="K775" s="97"/>
      <c r="L775" s="97"/>
      <c r="M775" s="97"/>
    </row>
    <row r="776" spans="1:13" ht="15">
      <c r="A776" s="93"/>
      <c r="B776" s="93"/>
      <c r="C776" s="174"/>
      <c r="D776" s="174"/>
      <c r="E776" s="174"/>
      <c r="F776" s="174"/>
      <c r="G776" s="97"/>
      <c r="H776" s="174"/>
      <c r="I776" s="174"/>
      <c r="J776" s="174"/>
      <c r="K776" s="97"/>
      <c r="L776" s="97"/>
      <c r="M776" s="97"/>
    </row>
    <row r="777" spans="1:13" ht="15">
      <c r="A777" s="93"/>
      <c r="B777" s="97"/>
      <c r="C777" s="97"/>
      <c r="D777" s="97"/>
      <c r="E777" s="97"/>
      <c r="F777" s="97"/>
      <c r="G777" s="197"/>
      <c r="H777" s="97"/>
      <c r="I777" s="97"/>
      <c r="J777" s="97"/>
      <c r="K777" s="97"/>
      <c r="L777" s="97"/>
      <c r="M777" s="97"/>
    </row>
    <row r="778" spans="1:13" ht="15">
      <c r="A778" s="93"/>
      <c r="B778" s="97"/>
      <c r="C778" s="97"/>
      <c r="D778" s="97"/>
      <c r="E778" s="197"/>
      <c r="F778" s="97"/>
      <c r="G778" s="197"/>
      <c r="H778" s="198"/>
      <c r="I778" s="97"/>
      <c r="J778" s="97"/>
      <c r="K778" s="97"/>
      <c r="L778" s="97"/>
      <c r="M778" s="97"/>
    </row>
    <row r="779" spans="1:13" ht="15">
      <c r="A779" s="93"/>
      <c r="B779" s="97"/>
      <c r="C779" s="97"/>
      <c r="D779" s="97"/>
      <c r="E779" s="197"/>
      <c r="F779" s="97"/>
      <c r="G779" s="97"/>
      <c r="H779" s="97"/>
      <c r="I779" s="97"/>
      <c r="J779" s="97"/>
      <c r="K779" s="97"/>
      <c r="L779" s="97"/>
      <c r="M779" s="97"/>
    </row>
    <row r="780" spans="1:13" ht="15">
      <c r="A780" s="93"/>
      <c r="B780" s="97"/>
      <c r="C780" s="97"/>
      <c r="D780" s="97"/>
      <c r="E780" s="97"/>
      <c r="F780" s="97"/>
      <c r="G780" s="97"/>
      <c r="H780" s="97"/>
      <c r="I780" s="97"/>
      <c r="J780" s="97"/>
      <c r="K780" s="97"/>
      <c r="L780" s="97"/>
      <c r="M780" s="97"/>
    </row>
    <row r="781" spans="1:13" ht="15">
      <c r="A781" s="93"/>
      <c r="B781" s="97"/>
      <c r="C781" s="97"/>
      <c r="D781" s="97"/>
      <c r="E781" s="97"/>
      <c r="F781" s="97"/>
      <c r="G781" s="97"/>
      <c r="H781" s="97"/>
      <c r="I781" s="97"/>
      <c r="J781" s="97"/>
      <c r="K781" s="97"/>
      <c r="L781" s="97"/>
      <c r="M781" s="97"/>
    </row>
    <row r="782" spans="1:13" ht="15">
      <c r="A782" s="93"/>
      <c r="B782" s="97"/>
      <c r="C782" s="97"/>
      <c r="D782" s="97"/>
      <c r="E782" s="97"/>
      <c r="F782" s="97"/>
      <c r="G782" s="199"/>
      <c r="H782" s="97"/>
      <c r="I782" s="97"/>
      <c r="J782" s="97"/>
      <c r="K782" s="97"/>
      <c r="L782" s="97"/>
      <c r="M782" s="97"/>
    </row>
    <row r="783" spans="1:13" ht="15">
      <c r="A783" s="93"/>
      <c r="B783" s="158"/>
      <c r="C783" s="158"/>
      <c r="D783" s="158"/>
      <c r="E783" s="158"/>
      <c r="F783" s="158"/>
      <c r="G783" s="97"/>
      <c r="H783" s="200"/>
      <c r="I783" s="200"/>
      <c r="J783" s="201"/>
      <c r="K783" s="97"/>
      <c r="L783" s="97"/>
      <c r="M783" s="97"/>
    </row>
    <row r="784" spans="1:13" ht="15">
      <c r="A784" s="93"/>
      <c r="B784" s="97"/>
      <c r="C784" s="97"/>
      <c r="D784" s="97"/>
      <c r="E784" s="97"/>
      <c r="F784" s="97"/>
      <c r="G784" s="97"/>
      <c r="H784" s="97"/>
      <c r="I784" s="97"/>
      <c r="J784" s="97"/>
      <c r="K784" s="97"/>
      <c r="L784" s="97"/>
      <c r="M784" s="97"/>
    </row>
    <row r="785" spans="1:13" ht="15">
      <c r="A785" s="93"/>
      <c r="B785" s="97"/>
      <c r="C785" s="97"/>
      <c r="D785" s="97"/>
      <c r="E785" s="97"/>
      <c r="F785" s="97"/>
      <c r="G785" s="97"/>
      <c r="H785" s="97"/>
      <c r="I785" s="97"/>
      <c r="J785" s="97"/>
      <c r="K785" s="97"/>
      <c r="L785" s="97"/>
      <c r="M785" s="97"/>
    </row>
    <row r="786" spans="1:13" ht="15">
      <c r="A786" s="93"/>
      <c r="B786" s="97"/>
      <c r="C786" s="97"/>
      <c r="D786" s="97"/>
      <c r="E786" s="97"/>
      <c r="F786" s="97"/>
      <c r="G786" s="97"/>
      <c r="H786" s="97"/>
      <c r="I786" s="97"/>
      <c r="J786" s="97"/>
      <c r="K786" s="97"/>
      <c r="L786" s="97"/>
      <c r="M786" s="97"/>
    </row>
    <row r="787" spans="1:13" ht="15">
      <c r="A787" s="93"/>
      <c r="B787" s="97"/>
      <c r="C787" s="97"/>
      <c r="D787" s="97"/>
      <c r="E787" s="97"/>
      <c r="F787" s="97"/>
      <c r="G787" s="97"/>
      <c r="H787" s="97"/>
      <c r="I787" s="97"/>
      <c r="J787" s="97"/>
      <c r="K787" s="97"/>
      <c r="L787" s="97"/>
      <c r="M787" s="97"/>
    </row>
    <row r="788" spans="1:13" ht="15">
      <c r="A788" s="93"/>
      <c r="B788" s="97"/>
      <c r="C788" s="97"/>
      <c r="D788" s="97"/>
      <c r="E788" s="97"/>
      <c r="F788" s="97"/>
      <c r="G788" s="97"/>
      <c r="H788" s="97"/>
      <c r="I788" s="97"/>
      <c r="J788" s="97"/>
      <c r="K788" s="97"/>
      <c r="L788" s="97"/>
      <c r="M788" s="97"/>
    </row>
    <row r="789" spans="1:13" ht="15">
      <c r="A789" s="93"/>
      <c r="B789" s="97"/>
      <c r="C789" s="97"/>
      <c r="D789" s="97"/>
      <c r="E789" s="97"/>
      <c r="F789" s="197"/>
      <c r="G789" s="97"/>
      <c r="H789" s="97"/>
      <c r="I789" s="97"/>
      <c r="J789" s="97"/>
      <c r="K789" s="97"/>
      <c r="L789" s="97"/>
      <c r="M789" s="97"/>
    </row>
    <row r="790" spans="1:13" ht="15">
      <c r="A790" s="93"/>
      <c r="B790" s="97"/>
      <c r="C790" s="97"/>
      <c r="D790" s="97"/>
      <c r="E790" s="97"/>
      <c r="F790" s="97"/>
      <c r="G790" s="97"/>
      <c r="H790" s="97"/>
      <c r="I790" s="97"/>
      <c r="J790" s="97"/>
      <c r="K790" s="97"/>
      <c r="L790" s="97"/>
      <c r="M790" s="97"/>
    </row>
    <row r="791" spans="1:13" ht="15">
      <c r="A791" s="93"/>
      <c r="B791" s="97"/>
      <c r="C791" s="97"/>
      <c r="D791" s="97"/>
      <c r="E791" s="97"/>
      <c r="F791" s="97"/>
      <c r="G791" s="97"/>
      <c r="H791" s="97"/>
      <c r="I791" s="97"/>
      <c r="J791" s="97"/>
      <c r="K791" s="97"/>
      <c r="L791" s="97"/>
      <c r="M791" s="97"/>
    </row>
    <row r="792" spans="1:13" ht="15">
      <c r="A792" s="93"/>
      <c r="B792" s="97"/>
      <c r="C792" s="97"/>
      <c r="D792" s="97"/>
      <c r="E792" s="97"/>
      <c r="F792" s="97"/>
      <c r="G792" s="97"/>
      <c r="H792" s="97"/>
      <c r="I792" s="97"/>
      <c r="J792" s="97"/>
      <c r="K792" s="97"/>
      <c r="L792" s="97"/>
      <c r="M792" s="97"/>
    </row>
    <row r="793" spans="1:13" ht="15">
      <c r="A793" s="93"/>
      <c r="B793" s="97"/>
      <c r="C793" s="97"/>
      <c r="D793" s="97"/>
      <c r="E793" s="97"/>
      <c r="F793" s="97"/>
      <c r="G793" s="97"/>
      <c r="H793" s="97"/>
      <c r="I793" s="97"/>
      <c r="J793" s="93"/>
      <c r="K793" s="93"/>
      <c r="L793" s="97"/>
      <c r="M793" s="97"/>
    </row>
    <row r="794" spans="1:13" ht="15">
      <c r="A794" s="93"/>
      <c r="B794" s="196"/>
      <c r="C794" s="196"/>
      <c r="D794" s="196"/>
      <c r="E794" s="196"/>
      <c r="F794" s="196"/>
      <c r="G794" s="97"/>
      <c r="H794" s="97"/>
      <c r="I794" s="97"/>
      <c r="J794" s="97"/>
      <c r="K794" s="97"/>
      <c r="L794" s="97"/>
      <c r="M794" s="97"/>
    </row>
    <row r="795" spans="1:13" ht="15">
      <c r="A795" s="93"/>
      <c r="B795" s="174"/>
      <c r="C795" s="174"/>
      <c r="D795" s="174"/>
      <c r="E795" s="174"/>
      <c r="F795" s="174"/>
      <c r="G795" s="97"/>
      <c r="H795" s="97"/>
      <c r="I795" s="97"/>
      <c r="J795" s="97"/>
      <c r="K795" s="97"/>
      <c r="L795" s="97"/>
      <c r="M795" s="97"/>
    </row>
    <row r="796" spans="1:13" ht="15">
      <c r="A796" s="93"/>
      <c r="B796" s="174"/>
      <c r="C796" s="174"/>
      <c r="D796" s="174"/>
      <c r="E796" s="174"/>
      <c r="F796" s="174"/>
      <c r="G796" s="97"/>
      <c r="H796" s="97"/>
      <c r="I796" s="97"/>
      <c r="J796" s="97"/>
      <c r="K796" s="97"/>
      <c r="L796" s="97"/>
      <c r="M796" s="97"/>
    </row>
    <row r="797" spans="1:13" ht="15">
      <c r="A797" s="97"/>
      <c r="B797" s="174"/>
      <c r="C797" s="174"/>
      <c r="D797" s="174"/>
      <c r="E797" s="174"/>
      <c r="F797" s="174"/>
      <c r="G797" s="97"/>
      <c r="H797" s="97"/>
      <c r="I797" s="97"/>
      <c r="J797" s="97"/>
      <c r="K797" s="97"/>
      <c r="L797" s="97"/>
      <c r="M797" s="97"/>
    </row>
    <row r="798" spans="1:13" ht="15">
      <c r="A798" s="93"/>
      <c r="B798" s="194"/>
      <c r="C798" s="194"/>
      <c r="D798" s="194"/>
      <c r="E798" s="100"/>
      <c r="F798" s="194"/>
      <c r="G798" s="97"/>
      <c r="H798" s="97"/>
      <c r="I798" s="97"/>
      <c r="J798" s="97"/>
      <c r="K798" s="97"/>
      <c r="L798" s="97"/>
      <c r="M798" s="97"/>
    </row>
    <row r="799" spans="1:13" ht="15">
      <c r="A799" s="97"/>
      <c r="B799" s="194"/>
      <c r="C799" s="194"/>
      <c r="D799" s="194"/>
      <c r="E799" s="100"/>
      <c r="F799" s="194"/>
      <c r="G799" s="97"/>
      <c r="H799" s="97"/>
      <c r="I799" s="97"/>
      <c r="J799" s="97"/>
      <c r="K799" s="97"/>
      <c r="L799" s="97"/>
      <c r="M799" s="97"/>
    </row>
    <row r="800" spans="1:13" ht="15">
      <c r="A800" s="97"/>
      <c r="B800" s="194"/>
      <c r="C800" s="194"/>
      <c r="D800" s="194"/>
      <c r="E800" s="100"/>
      <c r="F800" s="194"/>
      <c r="G800" s="97"/>
      <c r="H800" s="97"/>
      <c r="I800" s="97"/>
      <c r="J800" s="97"/>
      <c r="K800" s="97"/>
      <c r="L800" s="97"/>
      <c r="M800" s="97"/>
    </row>
    <row r="801" spans="1:13" ht="15">
      <c r="A801" s="97"/>
      <c r="B801" s="194"/>
      <c r="C801" s="194"/>
      <c r="D801" s="194"/>
      <c r="E801" s="100"/>
      <c r="F801" s="194"/>
      <c r="G801" s="97"/>
      <c r="H801" s="97"/>
      <c r="I801" s="97"/>
      <c r="J801" s="97"/>
      <c r="K801" s="97"/>
      <c r="L801" s="97"/>
      <c r="M801" s="97"/>
    </row>
    <row r="802" spans="1:13" ht="15">
      <c r="A802" s="97"/>
      <c r="B802" s="194"/>
      <c r="C802" s="194"/>
      <c r="D802" s="194"/>
      <c r="E802" s="100"/>
      <c r="F802" s="194"/>
      <c r="G802" s="97"/>
      <c r="H802" s="97"/>
      <c r="I802" s="97"/>
      <c r="J802" s="97"/>
      <c r="K802" s="97"/>
      <c r="L802" s="97"/>
      <c r="M802" s="97"/>
    </row>
    <row r="803" spans="1:13" ht="15">
      <c r="A803" s="97"/>
      <c r="B803" s="194"/>
      <c r="C803" s="194"/>
      <c r="D803" s="194"/>
      <c r="E803" s="194"/>
      <c r="F803" s="194"/>
      <c r="G803" s="97"/>
      <c r="H803" s="97"/>
      <c r="I803" s="97"/>
      <c r="J803" s="97"/>
      <c r="K803" s="97"/>
      <c r="L803" s="97"/>
      <c r="M803" s="97"/>
    </row>
    <row r="804" spans="1:13" ht="15">
      <c r="A804" s="97"/>
      <c r="B804" s="194"/>
      <c r="C804" s="194"/>
      <c r="D804" s="194"/>
      <c r="E804" s="194"/>
      <c r="F804" s="194"/>
      <c r="G804" s="97"/>
      <c r="H804" s="97"/>
      <c r="I804" s="97"/>
      <c r="J804" s="97"/>
      <c r="K804" s="97"/>
      <c r="L804" s="97"/>
      <c r="M804" s="97"/>
    </row>
    <row r="805" spans="1:13" ht="15">
      <c r="A805" s="97"/>
      <c r="B805" s="194"/>
      <c r="C805" s="194"/>
      <c r="D805" s="194"/>
      <c r="E805" s="194"/>
      <c r="F805" s="194"/>
      <c r="G805" s="97"/>
      <c r="H805" s="97"/>
      <c r="I805" s="97"/>
      <c r="J805" s="97"/>
      <c r="K805" s="97"/>
      <c r="L805" s="97"/>
      <c r="M805" s="97"/>
    </row>
    <row r="806" spans="1:13" ht="15">
      <c r="A806" s="97"/>
      <c r="B806" s="97"/>
      <c r="C806" s="97"/>
      <c r="D806" s="97"/>
      <c r="E806" s="97"/>
      <c r="F806" s="97"/>
      <c r="G806" s="97"/>
      <c r="H806" s="97"/>
      <c r="I806" s="97"/>
      <c r="J806" s="97"/>
      <c r="K806" s="97"/>
      <c r="L806" s="97"/>
      <c r="M806" s="97"/>
    </row>
    <row r="807" spans="1:13" ht="15">
      <c r="A807" s="97"/>
      <c r="B807" s="97"/>
      <c r="C807" s="97"/>
      <c r="D807" s="97"/>
      <c r="E807" s="97"/>
      <c r="F807" s="97"/>
      <c r="G807" s="97"/>
      <c r="H807" s="97"/>
      <c r="I807" s="97"/>
      <c r="J807" s="97"/>
      <c r="K807" s="97"/>
      <c r="L807" s="97"/>
      <c r="M807" s="97"/>
    </row>
    <row r="808" spans="1:13" ht="15">
      <c r="A808" s="97"/>
      <c r="B808" s="97"/>
      <c r="C808" s="97"/>
      <c r="D808" s="97"/>
      <c r="E808" s="97"/>
      <c r="F808" s="97"/>
      <c r="G808" s="97"/>
      <c r="H808" s="97"/>
      <c r="I808" s="97"/>
      <c r="J808" s="97"/>
      <c r="K808" s="97"/>
      <c r="L808" s="97"/>
      <c r="M808" s="97"/>
    </row>
    <row r="809" spans="1:13" ht="15">
      <c r="A809" s="97"/>
      <c r="B809" s="194"/>
      <c r="C809" s="194"/>
      <c r="D809" s="194"/>
      <c r="E809" s="194"/>
      <c r="F809" s="194"/>
      <c r="G809" s="97"/>
      <c r="H809" s="97"/>
      <c r="I809" s="97"/>
      <c r="J809" s="97"/>
      <c r="K809" s="97"/>
      <c r="L809" s="97"/>
      <c r="M809" s="97"/>
    </row>
    <row r="810" spans="1:13" ht="15">
      <c r="A810" s="97"/>
      <c r="B810" s="97"/>
      <c r="C810" s="97"/>
      <c r="D810" s="97"/>
      <c r="E810" s="97"/>
      <c r="F810" s="97"/>
      <c r="G810" s="97"/>
      <c r="H810" s="97"/>
      <c r="I810" s="97"/>
      <c r="J810" s="97"/>
      <c r="K810" s="97"/>
      <c r="L810" s="97"/>
      <c r="M810" s="97"/>
    </row>
    <row r="811" spans="1:13" ht="15">
      <c r="A811" s="97"/>
      <c r="B811" s="97"/>
      <c r="C811" s="97"/>
      <c r="D811" s="97"/>
      <c r="E811" s="97"/>
      <c r="F811" s="97"/>
      <c r="G811" s="97"/>
      <c r="H811" s="97"/>
      <c r="I811" s="97"/>
      <c r="J811" s="97"/>
      <c r="K811" s="97"/>
      <c r="L811" s="97"/>
      <c r="M811" s="97"/>
    </row>
    <row r="812" spans="1:13" ht="15">
      <c r="A812" s="97"/>
      <c r="B812" s="97"/>
      <c r="C812" s="97"/>
      <c r="D812" s="97"/>
      <c r="E812" s="97"/>
      <c r="F812" s="97"/>
      <c r="G812" s="97"/>
      <c r="H812" s="97"/>
      <c r="I812" s="97"/>
      <c r="J812" s="97"/>
      <c r="K812" s="97"/>
      <c r="L812" s="97"/>
      <c r="M812" s="97"/>
    </row>
    <row r="813" spans="1:13" ht="15">
      <c r="A813" s="97"/>
      <c r="B813" s="97"/>
      <c r="C813" s="97"/>
      <c r="D813" s="97"/>
      <c r="E813" s="97"/>
      <c r="F813" s="97"/>
      <c r="G813" s="97"/>
      <c r="H813" s="97"/>
      <c r="I813" s="97"/>
      <c r="J813" s="97"/>
      <c r="K813" s="97"/>
      <c r="L813" s="97"/>
      <c r="M813" s="97"/>
    </row>
    <row r="814" spans="1:13" ht="15">
      <c r="A814" s="97"/>
      <c r="B814" s="195"/>
      <c r="C814" s="195"/>
      <c r="D814" s="195"/>
      <c r="E814" s="195"/>
      <c r="F814" s="195"/>
      <c r="G814" s="97"/>
      <c r="H814" s="97"/>
      <c r="I814" s="97"/>
      <c r="J814" s="97"/>
      <c r="K814" s="97"/>
      <c r="L814" s="97"/>
      <c r="M814" s="97"/>
    </row>
    <row r="815" spans="1:13" ht="15">
      <c r="A815" s="93"/>
      <c r="B815" s="93"/>
      <c r="C815" s="93"/>
      <c r="D815" s="93"/>
      <c r="E815" s="93"/>
      <c r="F815" s="93"/>
      <c r="G815" s="97"/>
      <c r="H815" s="97"/>
      <c r="I815" s="97"/>
      <c r="J815" s="97"/>
      <c r="K815" s="97"/>
      <c r="L815" s="97"/>
      <c r="M815" s="97"/>
    </row>
    <row r="816" spans="1:13" ht="15">
      <c r="A816" s="93"/>
      <c r="B816" s="196"/>
      <c r="C816" s="196"/>
      <c r="D816" s="196"/>
      <c r="E816" s="196"/>
      <c r="F816" s="196"/>
      <c r="G816" s="97"/>
      <c r="H816" s="97"/>
      <c r="I816" s="97"/>
      <c r="J816" s="97"/>
      <c r="K816" s="97"/>
      <c r="L816" s="97"/>
      <c r="M816" s="97"/>
    </row>
    <row r="817" spans="1:13" ht="15">
      <c r="A817" s="93"/>
      <c r="B817" s="97"/>
      <c r="C817" s="97"/>
      <c r="D817" s="97"/>
      <c r="E817" s="97"/>
      <c r="F817" s="97"/>
      <c r="G817" s="97"/>
      <c r="H817" s="97"/>
      <c r="I817" s="97"/>
      <c r="J817" s="97"/>
      <c r="K817" s="97"/>
      <c r="L817" s="97"/>
      <c r="M817" s="97"/>
    </row>
    <row r="818" spans="1:13" ht="15">
      <c r="A818" s="97"/>
      <c r="B818" s="97"/>
      <c r="C818" s="97"/>
      <c r="D818" s="97"/>
      <c r="E818" s="97"/>
      <c r="F818" s="97"/>
      <c r="G818" s="174"/>
      <c r="H818" s="97"/>
      <c r="I818" s="97"/>
      <c r="J818" s="97"/>
      <c r="K818" s="97"/>
      <c r="L818" s="97"/>
      <c r="M818" s="97"/>
    </row>
    <row r="819" spans="1:13" ht="15">
      <c r="A819" s="97"/>
      <c r="B819" s="97"/>
      <c r="C819" s="174"/>
      <c r="D819" s="174"/>
      <c r="E819" s="174"/>
      <c r="F819" s="174"/>
      <c r="G819" s="174"/>
      <c r="H819" s="174"/>
      <c r="I819" s="174"/>
      <c r="J819" s="174"/>
      <c r="K819" s="97"/>
      <c r="L819" s="97"/>
      <c r="M819" s="97"/>
    </row>
    <row r="820" spans="1:13" ht="15">
      <c r="A820" s="93"/>
      <c r="B820" s="93"/>
      <c r="C820" s="174"/>
      <c r="D820" s="174"/>
      <c r="E820" s="174"/>
      <c r="F820" s="174"/>
      <c r="G820" s="97"/>
      <c r="H820" s="174"/>
      <c r="I820" s="174"/>
      <c r="J820" s="174"/>
      <c r="K820" s="97"/>
      <c r="L820" s="97"/>
      <c r="M820" s="97"/>
    </row>
    <row r="821" spans="1:13" ht="15">
      <c r="A821" s="93"/>
      <c r="B821" s="97"/>
      <c r="C821" s="97"/>
      <c r="D821" s="97"/>
      <c r="E821" s="97"/>
      <c r="F821" s="97"/>
      <c r="G821" s="197"/>
      <c r="H821" s="97"/>
      <c r="I821" s="97"/>
      <c r="J821" s="97"/>
      <c r="K821" s="97"/>
      <c r="L821" s="97"/>
      <c r="M821" s="97"/>
    </row>
    <row r="822" spans="1:13" ht="15">
      <c r="A822" s="93"/>
      <c r="B822" s="97"/>
      <c r="C822" s="97"/>
      <c r="D822" s="97"/>
      <c r="E822" s="197"/>
      <c r="F822" s="97"/>
      <c r="G822" s="197"/>
      <c r="H822" s="198"/>
      <c r="I822" s="97"/>
      <c r="J822" s="97"/>
      <c r="K822" s="97"/>
      <c r="L822" s="97"/>
      <c r="M822" s="97"/>
    </row>
    <row r="823" spans="1:13" ht="15">
      <c r="A823" s="93"/>
      <c r="B823" s="97"/>
      <c r="C823" s="97"/>
      <c r="D823" s="97"/>
      <c r="E823" s="197"/>
      <c r="F823" s="97"/>
      <c r="G823" s="97"/>
      <c r="H823" s="97"/>
      <c r="I823" s="97"/>
      <c r="J823" s="97"/>
      <c r="K823" s="97"/>
      <c r="L823" s="97"/>
      <c r="M823" s="97"/>
    </row>
    <row r="824" spans="1:13" ht="15">
      <c r="A824" s="93"/>
      <c r="B824" s="97"/>
      <c r="C824" s="97"/>
      <c r="D824" s="97"/>
      <c r="E824" s="97"/>
      <c r="F824" s="97"/>
      <c r="G824" s="97"/>
      <c r="H824" s="97"/>
      <c r="I824" s="97"/>
      <c r="J824" s="97"/>
      <c r="K824" s="97"/>
      <c r="L824" s="97"/>
      <c r="M824" s="97"/>
    </row>
    <row r="825" spans="1:13" ht="15">
      <c r="A825" s="93"/>
      <c r="B825" s="97"/>
      <c r="C825" s="97"/>
      <c r="D825" s="97"/>
      <c r="E825" s="97"/>
      <c r="F825" s="97"/>
      <c r="G825" s="97"/>
      <c r="H825" s="97"/>
      <c r="I825" s="97"/>
      <c r="J825" s="97"/>
      <c r="K825" s="97"/>
      <c r="L825" s="97"/>
      <c r="M825" s="97"/>
    </row>
    <row r="826" spans="1:13" ht="15">
      <c r="A826" s="93"/>
      <c r="B826" s="97"/>
      <c r="C826" s="97"/>
      <c r="D826" s="97"/>
      <c r="E826" s="97"/>
      <c r="F826" s="97"/>
      <c r="G826" s="199"/>
      <c r="H826" s="97"/>
      <c r="I826" s="97"/>
      <c r="J826" s="97"/>
      <c r="K826" s="97"/>
      <c r="L826" s="97"/>
      <c r="M826" s="97"/>
    </row>
    <row r="827" spans="1:13" ht="15">
      <c r="A827" s="93"/>
      <c r="B827" s="158"/>
      <c r="C827" s="158"/>
      <c r="D827" s="158"/>
      <c r="E827" s="158"/>
      <c r="F827" s="158"/>
      <c r="G827" s="97"/>
      <c r="H827" s="200"/>
      <c r="I827" s="200"/>
      <c r="J827" s="201"/>
      <c r="K827" s="97"/>
      <c r="L827" s="97"/>
      <c r="M827" s="97"/>
    </row>
    <row r="828" spans="1:13" ht="15">
      <c r="A828" s="93"/>
      <c r="B828" s="97"/>
      <c r="C828" s="97"/>
      <c r="D828" s="97"/>
      <c r="E828" s="97"/>
      <c r="F828" s="97"/>
      <c r="G828" s="97"/>
      <c r="H828" s="97"/>
      <c r="I828" s="97"/>
      <c r="J828" s="97"/>
      <c r="K828" s="97"/>
      <c r="L828" s="97"/>
      <c r="M828" s="97"/>
    </row>
    <row r="829" spans="1:13" ht="15">
      <c r="A829" s="93"/>
      <c r="B829" s="97"/>
      <c r="C829" s="97"/>
      <c r="D829" s="97"/>
      <c r="E829" s="97"/>
      <c r="F829" s="97"/>
      <c r="G829" s="97"/>
      <c r="H829" s="97"/>
      <c r="I829" s="97"/>
      <c r="J829" s="97"/>
      <c r="K829" s="97"/>
      <c r="L829" s="97"/>
      <c r="M829" s="97"/>
    </row>
    <row r="830" spans="1:13" ht="15">
      <c r="A830" s="93"/>
      <c r="B830" s="97"/>
      <c r="C830" s="97"/>
      <c r="D830" s="97"/>
      <c r="E830" s="97"/>
      <c r="F830" s="97"/>
      <c r="G830" s="97"/>
      <c r="H830" s="97"/>
      <c r="I830" s="97"/>
      <c r="J830" s="97"/>
      <c r="K830" s="97"/>
      <c r="L830" s="97"/>
      <c r="M830" s="97"/>
    </row>
    <row r="831" spans="1:13" ht="15">
      <c r="A831" s="93"/>
      <c r="B831" s="97"/>
      <c r="C831" s="97"/>
      <c r="D831" s="97"/>
      <c r="E831" s="97"/>
      <c r="F831" s="97"/>
      <c r="G831" s="97"/>
      <c r="H831" s="97"/>
      <c r="I831" s="97"/>
      <c r="J831" s="97"/>
      <c r="K831" s="97"/>
      <c r="L831" s="97"/>
      <c r="M831" s="97"/>
    </row>
    <row r="832" spans="1:13" ht="15">
      <c r="A832" s="93"/>
      <c r="B832" s="97"/>
      <c r="C832" s="97"/>
      <c r="D832" s="97"/>
      <c r="E832" s="97"/>
      <c r="F832" s="97"/>
      <c r="G832" s="97"/>
      <c r="H832" s="97"/>
      <c r="I832" s="97"/>
      <c r="J832" s="97"/>
      <c r="K832" s="97"/>
      <c r="L832" s="97"/>
      <c r="M832" s="97"/>
    </row>
    <row r="833" spans="1:13" ht="15">
      <c r="A833" s="93"/>
      <c r="B833" s="97"/>
      <c r="C833" s="97"/>
      <c r="D833" s="97"/>
      <c r="E833" s="97"/>
      <c r="F833" s="197"/>
      <c r="G833" s="97"/>
      <c r="H833" s="97"/>
      <c r="I833" s="97"/>
      <c r="J833" s="97"/>
      <c r="K833" s="97"/>
      <c r="L833" s="97"/>
      <c r="M833" s="97"/>
    </row>
    <row r="834" spans="1:13" ht="15">
      <c r="A834" s="93"/>
      <c r="B834" s="97"/>
      <c r="C834" s="97"/>
      <c r="D834" s="97"/>
      <c r="E834" s="97"/>
      <c r="F834" s="97"/>
      <c r="G834" s="97"/>
      <c r="H834" s="97"/>
      <c r="I834" s="97"/>
      <c r="J834" s="97"/>
      <c r="K834" s="97"/>
      <c r="L834" s="97"/>
      <c r="M834" s="97"/>
    </row>
    <row r="835" spans="1:13" ht="15">
      <c r="A835" s="93"/>
      <c r="B835" s="97"/>
      <c r="C835" s="97"/>
      <c r="D835" s="97"/>
      <c r="E835" s="97"/>
      <c r="F835" s="97"/>
      <c r="G835" s="97"/>
      <c r="H835" s="97"/>
      <c r="I835" s="97"/>
      <c r="J835" s="97"/>
      <c r="K835" s="97"/>
      <c r="L835" s="97"/>
      <c r="M835" s="97"/>
    </row>
    <row r="836" spans="1:13" ht="15">
      <c r="A836" s="93"/>
      <c r="B836" s="97"/>
      <c r="C836" s="97"/>
      <c r="D836" s="97"/>
      <c r="E836" s="97"/>
      <c r="F836" s="97"/>
      <c r="G836" s="97"/>
      <c r="H836" s="97"/>
      <c r="I836" s="97"/>
      <c r="J836" s="97"/>
      <c r="K836" s="97"/>
      <c r="L836" s="97"/>
      <c r="M836" s="97"/>
    </row>
    <row r="837" spans="1:13" ht="15">
      <c r="A837" s="93"/>
      <c r="B837" s="97"/>
      <c r="C837" s="97"/>
      <c r="D837" s="97"/>
      <c r="E837" s="97"/>
      <c r="F837" s="97"/>
      <c r="G837" s="97"/>
      <c r="H837" s="97"/>
      <c r="I837" s="97"/>
      <c r="J837" s="93"/>
      <c r="K837" s="93"/>
      <c r="L837" s="97"/>
      <c r="M837" s="97"/>
    </row>
    <row r="838" spans="1:13" ht="15">
      <c r="A838" s="93"/>
      <c r="B838" s="196"/>
      <c r="C838" s="196"/>
      <c r="D838" s="196"/>
      <c r="E838" s="196"/>
      <c r="F838" s="196"/>
      <c r="G838" s="97"/>
      <c r="H838" s="97"/>
      <c r="I838" s="97"/>
      <c r="J838" s="97"/>
      <c r="K838" s="97"/>
      <c r="L838" s="97"/>
      <c r="M838" s="97"/>
    </row>
    <row r="839" spans="1:13" ht="15">
      <c r="A839" s="93"/>
      <c r="B839" s="174"/>
      <c r="C839" s="174"/>
      <c r="D839" s="174"/>
      <c r="E839" s="174"/>
      <c r="F839" s="174"/>
      <c r="G839" s="97"/>
      <c r="H839" s="97"/>
      <c r="I839" s="97"/>
      <c r="J839" s="97"/>
      <c r="K839" s="97"/>
      <c r="L839" s="97"/>
      <c r="M839" s="97"/>
    </row>
    <row r="840" spans="1:13" ht="15">
      <c r="A840" s="93"/>
      <c r="B840" s="174"/>
      <c r="C840" s="174"/>
      <c r="D840" s="174"/>
      <c r="E840" s="174"/>
      <c r="F840" s="174"/>
      <c r="G840" s="97"/>
      <c r="H840" s="97"/>
      <c r="I840" s="97"/>
      <c r="J840" s="97"/>
      <c r="K840" s="97"/>
      <c r="L840" s="97"/>
      <c r="M840" s="97"/>
    </row>
    <row r="841" spans="1:13" ht="15">
      <c r="A841" s="97"/>
      <c r="B841" s="174"/>
      <c r="C841" s="174"/>
      <c r="D841" s="174"/>
      <c r="E841" s="174"/>
      <c r="F841" s="174"/>
      <c r="G841" s="97"/>
      <c r="H841" s="97"/>
      <c r="I841" s="97"/>
      <c r="J841" s="97"/>
      <c r="K841" s="97"/>
      <c r="L841" s="97"/>
      <c r="M841" s="97"/>
    </row>
    <row r="842" spans="1:13" ht="15">
      <c r="A842" s="93"/>
      <c r="B842" s="194"/>
      <c r="C842" s="194"/>
      <c r="D842" s="194"/>
      <c r="E842" s="100"/>
      <c r="F842" s="194"/>
      <c r="G842" s="97"/>
      <c r="H842" s="97"/>
      <c r="I842" s="97"/>
      <c r="J842" s="97"/>
      <c r="K842" s="97"/>
      <c r="L842" s="97"/>
      <c r="M842" s="97"/>
    </row>
    <row r="843" spans="1:13" ht="15">
      <c r="A843" s="97"/>
      <c r="B843" s="194"/>
      <c r="C843" s="194"/>
      <c r="D843" s="194"/>
      <c r="E843" s="100"/>
      <c r="F843" s="194"/>
      <c r="G843" s="97"/>
      <c r="H843" s="97"/>
      <c r="I843" s="97"/>
      <c r="J843" s="97"/>
      <c r="K843" s="97"/>
      <c r="L843" s="97"/>
      <c r="M843" s="97"/>
    </row>
    <row r="844" spans="1:13" ht="15">
      <c r="A844" s="97"/>
      <c r="B844" s="194"/>
      <c r="C844" s="194"/>
      <c r="D844" s="194"/>
      <c r="E844" s="100"/>
      <c r="F844" s="194"/>
      <c r="G844" s="97"/>
      <c r="H844" s="97"/>
      <c r="I844" s="97"/>
      <c r="J844" s="97"/>
      <c r="K844" s="97"/>
      <c r="L844" s="97"/>
      <c r="M844" s="97"/>
    </row>
    <row r="845" spans="1:13" ht="15">
      <c r="A845" s="97"/>
      <c r="B845" s="194"/>
      <c r="C845" s="194"/>
      <c r="D845" s="194"/>
      <c r="E845" s="100"/>
      <c r="F845" s="194"/>
      <c r="G845" s="97"/>
      <c r="H845" s="97"/>
      <c r="I845" s="97"/>
      <c r="J845" s="97"/>
      <c r="K845" s="97"/>
      <c r="L845" s="97"/>
      <c r="M845" s="97"/>
    </row>
    <row r="846" spans="1:13" ht="15">
      <c r="A846" s="97"/>
      <c r="B846" s="194"/>
      <c r="C846" s="194"/>
      <c r="D846" s="194"/>
      <c r="E846" s="100"/>
      <c r="F846" s="194"/>
      <c r="G846" s="97"/>
      <c r="H846" s="97"/>
      <c r="I846" s="97"/>
      <c r="J846" s="97"/>
      <c r="K846" s="97"/>
      <c r="L846" s="97"/>
      <c r="M846" s="97"/>
    </row>
    <row r="847" spans="1:13" ht="15">
      <c r="A847" s="97"/>
      <c r="B847" s="194"/>
      <c r="C847" s="194"/>
      <c r="D847" s="194"/>
      <c r="E847" s="194"/>
      <c r="F847" s="194"/>
      <c r="G847" s="97"/>
      <c r="H847" s="97"/>
      <c r="I847" s="97"/>
      <c r="J847" s="97"/>
      <c r="K847" s="97"/>
      <c r="L847" s="97"/>
      <c r="M847" s="97"/>
    </row>
    <row r="848" spans="1:13" ht="15">
      <c r="A848" s="97"/>
      <c r="B848" s="194"/>
      <c r="C848" s="194"/>
      <c r="D848" s="194"/>
      <c r="E848" s="194"/>
      <c r="F848" s="194"/>
      <c r="G848" s="97"/>
      <c r="H848" s="97"/>
      <c r="I848" s="97"/>
      <c r="J848" s="97"/>
      <c r="K848" s="97"/>
      <c r="L848" s="97"/>
      <c r="M848" s="97"/>
    </row>
    <row r="849" spans="1:13" ht="15">
      <c r="A849" s="97"/>
      <c r="B849" s="194"/>
      <c r="C849" s="194"/>
      <c r="D849" s="194"/>
      <c r="E849" s="194"/>
      <c r="F849" s="194"/>
      <c r="G849" s="97"/>
      <c r="H849" s="97"/>
      <c r="I849" s="97"/>
      <c r="J849" s="97"/>
      <c r="K849" s="97"/>
      <c r="L849" s="97"/>
      <c r="M849" s="97"/>
    </row>
    <row r="850" spans="1:13" ht="15">
      <c r="A850" s="97"/>
      <c r="B850" s="97"/>
      <c r="C850" s="97"/>
      <c r="D850" s="97"/>
      <c r="E850" s="97"/>
      <c r="F850" s="97"/>
      <c r="G850" s="97"/>
      <c r="H850" s="97"/>
      <c r="I850" s="97"/>
      <c r="J850" s="97"/>
      <c r="K850" s="97"/>
      <c r="L850" s="97"/>
      <c r="M850" s="97"/>
    </row>
    <row r="851" spans="1:13" ht="15">
      <c r="A851" s="97"/>
      <c r="B851" s="97"/>
      <c r="C851" s="97"/>
      <c r="D851" s="97"/>
      <c r="E851" s="97"/>
      <c r="F851" s="97"/>
      <c r="G851" s="97"/>
      <c r="H851" s="97"/>
      <c r="I851" s="97"/>
      <c r="J851" s="97"/>
      <c r="K851" s="97"/>
      <c r="L851" s="97"/>
      <c r="M851" s="97"/>
    </row>
    <row r="852" spans="1:13" ht="15">
      <c r="A852" s="97"/>
      <c r="B852" s="97"/>
      <c r="C852" s="97"/>
      <c r="D852" s="97"/>
      <c r="E852" s="97"/>
      <c r="F852" s="97"/>
      <c r="G852" s="97"/>
      <c r="H852" s="97"/>
      <c r="I852" s="97"/>
      <c r="J852" s="97"/>
      <c r="K852" s="97"/>
      <c r="L852" s="97"/>
      <c r="M852" s="97"/>
    </row>
    <row r="853" spans="1:13" ht="15">
      <c r="A853" s="97"/>
      <c r="B853" s="194"/>
      <c r="C853" s="194"/>
      <c r="D853" s="194"/>
      <c r="E853" s="194"/>
      <c r="F853" s="194"/>
      <c r="G853" s="97"/>
      <c r="H853" s="97"/>
      <c r="I853" s="97"/>
      <c r="J853" s="97"/>
      <c r="K853" s="97"/>
      <c r="L853" s="97"/>
      <c r="M853" s="97"/>
    </row>
    <row r="854" spans="1:13" ht="15">
      <c r="A854" s="97"/>
      <c r="B854" s="97"/>
      <c r="C854" s="97"/>
      <c r="D854" s="97"/>
      <c r="E854" s="97"/>
      <c r="F854" s="97"/>
      <c r="G854" s="97"/>
      <c r="H854" s="97"/>
      <c r="I854" s="97"/>
      <c r="J854" s="97"/>
      <c r="K854" s="97"/>
      <c r="L854" s="97"/>
      <c r="M854" s="97"/>
    </row>
    <row r="855" spans="1:13" ht="15">
      <c r="A855" s="97"/>
      <c r="B855" s="97"/>
      <c r="C855" s="97"/>
      <c r="D855" s="97"/>
      <c r="E855" s="97"/>
      <c r="F855" s="97"/>
      <c r="G855" s="97"/>
      <c r="H855" s="97"/>
      <c r="I855" s="97"/>
      <c r="J855" s="97"/>
      <c r="K855" s="97"/>
      <c r="L855" s="97"/>
      <c r="M855" s="97"/>
    </row>
    <row r="856" spans="1:13" ht="15">
      <c r="A856" s="97"/>
      <c r="B856" s="97"/>
      <c r="C856" s="97"/>
      <c r="D856" s="97"/>
      <c r="E856" s="97"/>
      <c r="F856" s="97"/>
      <c r="G856" s="97"/>
      <c r="H856" s="97"/>
      <c r="I856" s="97"/>
      <c r="J856" s="97"/>
      <c r="K856" s="97"/>
      <c r="L856" s="97"/>
      <c r="M856" s="97"/>
    </row>
    <row r="857" spans="1:13" ht="15">
      <c r="A857" s="97"/>
      <c r="B857" s="97"/>
      <c r="C857" s="97"/>
      <c r="D857" s="97"/>
      <c r="E857" s="97"/>
      <c r="F857" s="97"/>
      <c r="G857" s="97"/>
      <c r="H857" s="97"/>
      <c r="I857" s="97"/>
      <c r="J857" s="97"/>
      <c r="K857" s="97"/>
      <c r="L857" s="97"/>
      <c r="M857" s="97"/>
    </row>
    <row r="858" spans="1:13" ht="15">
      <c r="A858" s="97"/>
      <c r="B858" s="195"/>
      <c r="C858" s="195"/>
      <c r="D858" s="195"/>
      <c r="E858" s="195"/>
      <c r="F858" s="195"/>
      <c r="G858" s="97"/>
      <c r="H858" s="97"/>
      <c r="I858" s="97"/>
      <c r="J858" s="97"/>
      <c r="K858" s="97"/>
      <c r="L858" s="97"/>
      <c r="M858" s="97"/>
    </row>
    <row r="859" spans="1:13" ht="15">
      <c r="A859" s="93"/>
      <c r="B859" s="93"/>
      <c r="C859" s="93"/>
      <c r="D859" s="93"/>
      <c r="E859" s="93"/>
      <c r="F859" s="93"/>
      <c r="G859" s="97"/>
      <c r="H859" s="97"/>
      <c r="I859" s="97"/>
      <c r="J859" s="97"/>
      <c r="K859" s="97"/>
      <c r="L859" s="97"/>
      <c r="M859" s="97"/>
    </row>
    <row r="860" spans="1:13" ht="15">
      <c r="A860" s="93"/>
      <c r="B860" s="196"/>
      <c r="C860" s="196"/>
      <c r="D860" s="196"/>
      <c r="E860" s="196"/>
      <c r="F860" s="196"/>
      <c r="G860" s="97"/>
      <c r="H860" s="97"/>
      <c r="I860" s="97"/>
      <c r="J860" s="97"/>
      <c r="K860" s="97"/>
      <c r="L860" s="97"/>
      <c r="M860" s="97"/>
    </row>
    <row r="861" spans="1:13" ht="15">
      <c r="A861" s="93"/>
      <c r="B861" s="97"/>
      <c r="C861" s="97"/>
      <c r="D861" s="97"/>
      <c r="E861" s="97"/>
      <c r="F861" s="97"/>
      <c r="G861" s="97"/>
      <c r="H861" s="97"/>
      <c r="I861" s="97"/>
      <c r="J861" s="97"/>
      <c r="K861" s="97"/>
      <c r="L861" s="97"/>
      <c r="M861" s="97"/>
    </row>
    <row r="862" spans="1:13" ht="15">
      <c r="A862" s="97"/>
      <c r="B862" s="97"/>
      <c r="C862" s="97"/>
      <c r="D862" s="97"/>
      <c r="E862" s="97"/>
      <c r="F862" s="97"/>
      <c r="G862" s="97"/>
      <c r="H862" s="97"/>
      <c r="I862" s="97"/>
      <c r="J862" s="97"/>
      <c r="K862" s="97"/>
      <c r="L862" s="97"/>
      <c r="M862" s="97"/>
    </row>
    <row r="863" spans="1:13" ht="15">
      <c r="A863" s="97"/>
      <c r="B863" s="97"/>
      <c r="C863" s="97"/>
      <c r="D863" s="97"/>
      <c r="E863" s="97"/>
      <c r="F863" s="97"/>
      <c r="G863" s="97"/>
      <c r="H863" s="97"/>
      <c r="I863" s="97"/>
      <c r="J863" s="97"/>
      <c r="K863" s="97"/>
      <c r="L863" s="97"/>
      <c r="M863" s="97"/>
    </row>
    <row r="864" spans="1:13" ht="15">
      <c r="A864" s="97"/>
      <c r="B864" s="97"/>
      <c r="C864" s="97"/>
      <c r="D864" s="97"/>
      <c r="E864" s="97"/>
      <c r="F864" s="97"/>
      <c r="G864" s="97"/>
      <c r="H864" s="97"/>
      <c r="I864" s="97"/>
      <c r="J864" s="97"/>
      <c r="K864" s="97"/>
      <c r="L864" s="97"/>
      <c r="M864" s="97"/>
    </row>
    <row r="865" spans="1:13" ht="15">
      <c r="A865" s="97"/>
      <c r="B865" s="97"/>
      <c r="C865" s="97"/>
      <c r="D865" s="97"/>
      <c r="E865" s="97"/>
      <c r="F865" s="97"/>
      <c r="G865" s="97"/>
      <c r="H865" s="97"/>
      <c r="I865" s="97"/>
      <c r="J865" s="97"/>
      <c r="K865" s="97"/>
      <c r="L865" s="97"/>
      <c r="M865" s="97"/>
    </row>
    <row r="866" spans="1:13" ht="15">
      <c r="A866" s="97"/>
      <c r="B866" s="97"/>
      <c r="C866" s="97"/>
      <c r="D866" s="97"/>
      <c r="E866" s="97"/>
      <c r="F866" s="97"/>
      <c r="G866" s="97"/>
      <c r="H866" s="97"/>
      <c r="I866" s="97"/>
      <c r="J866" s="97"/>
      <c r="K866" s="97"/>
      <c r="L866" s="97"/>
      <c r="M866" s="97"/>
    </row>
    <row r="867" spans="1:13" ht="15">
      <c r="A867" s="97"/>
      <c r="B867" s="97"/>
      <c r="C867" s="97"/>
      <c r="D867" s="97"/>
      <c r="E867" s="97"/>
      <c r="F867" s="97"/>
      <c r="G867" s="97"/>
      <c r="H867" s="97"/>
      <c r="I867" s="97"/>
      <c r="J867" s="97"/>
      <c r="K867" s="97"/>
      <c r="L867" s="97"/>
      <c r="M867" s="97"/>
    </row>
    <row r="868" spans="1:13" ht="15">
      <c r="A868" s="97"/>
      <c r="B868" s="97"/>
      <c r="C868" s="97"/>
      <c r="D868" s="97"/>
      <c r="E868" s="97"/>
      <c r="F868" s="97"/>
      <c r="G868" s="97"/>
      <c r="H868" s="97"/>
      <c r="I868" s="97"/>
      <c r="J868" s="97"/>
      <c r="K868" s="97"/>
      <c r="L868" s="97"/>
      <c r="M868" s="97"/>
    </row>
    <row r="869" spans="1:13" ht="15">
      <c r="A869" s="97"/>
      <c r="B869" s="97"/>
      <c r="C869" s="97"/>
      <c r="D869" s="97"/>
      <c r="E869" s="97"/>
      <c r="F869" s="97"/>
      <c r="G869" s="97"/>
      <c r="H869" s="97"/>
      <c r="I869" s="97"/>
      <c r="J869" s="97"/>
      <c r="K869" s="97"/>
      <c r="L869" s="97"/>
      <c r="M869" s="97"/>
    </row>
    <row r="870" spans="1:13" ht="15">
      <c r="A870" s="97"/>
      <c r="B870" s="97"/>
      <c r="C870" s="97"/>
      <c r="D870" s="97"/>
      <c r="E870" s="97"/>
      <c r="F870" s="97"/>
      <c r="G870" s="97"/>
      <c r="H870" s="97"/>
      <c r="I870" s="97"/>
      <c r="J870" s="97"/>
      <c r="K870" s="97"/>
      <c r="L870" s="97"/>
      <c r="M870" s="97"/>
    </row>
    <row r="871" spans="1:13" ht="15">
      <c r="A871" s="97"/>
      <c r="B871" s="97"/>
      <c r="C871" s="97"/>
      <c r="D871" s="97"/>
      <c r="E871" s="97"/>
      <c r="F871" s="97"/>
      <c r="G871" s="97"/>
      <c r="H871" s="97"/>
      <c r="I871" s="97"/>
      <c r="J871" s="97"/>
      <c r="K871" s="97"/>
      <c r="L871" s="97"/>
      <c r="M871" s="97"/>
    </row>
    <row r="872" spans="1:13" ht="15">
      <c r="A872" s="97"/>
      <c r="B872" s="97"/>
      <c r="C872" s="97"/>
      <c r="D872" s="97"/>
      <c r="E872" s="97"/>
      <c r="F872" s="97"/>
      <c r="G872" s="97"/>
      <c r="H872" s="97"/>
      <c r="I872" s="97"/>
      <c r="J872" s="97"/>
      <c r="K872" s="97"/>
      <c r="L872" s="97"/>
      <c r="M872" s="97"/>
    </row>
    <row r="873" spans="1:13" ht="15">
      <c r="A873" s="97"/>
      <c r="B873" s="97"/>
      <c r="C873" s="97"/>
      <c r="D873" s="97"/>
      <c r="E873" s="97"/>
      <c r="F873" s="97"/>
      <c r="G873" s="97"/>
      <c r="H873" s="97"/>
      <c r="I873" s="97"/>
      <c r="J873" s="97"/>
      <c r="K873" s="97"/>
      <c r="L873" s="97"/>
      <c r="M873" s="97"/>
    </row>
    <row r="874" spans="1:13" ht="15">
      <c r="A874" s="97"/>
      <c r="B874" s="97"/>
      <c r="C874" s="97"/>
      <c r="D874" s="97"/>
      <c r="E874" s="97"/>
      <c r="F874" s="97"/>
      <c r="G874" s="97"/>
      <c r="H874" s="97"/>
      <c r="I874" s="97"/>
      <c r="J874" s="97"/>
      <c r="K874" s="97"/>
      <c r="L874" s="97"/>
      <c r="M874" s="97"/>
    </row>
    <row r="875" spans="1:13" ht="15">
      <c r="A875" s="97"/>
      <c r="B875" s="97"/>
      <c r="C875" s="97"/>
      <c r="D875" s="97"/>
      <c r="E875" s="97"/>
      <c r="F875" s="97"/>
      <c r="G875" s="97"/>
      <c r="H875" s="97"/>
      <c r="I875" s="97"/>
      <c r="J875" s="97"/>
      <c r="K875" s="97"/>
      <c r="L875" s="97"/>
      <c r="M875" s="97"/>
    </row>
    <row r="876" spans="1:13" ht="15">
      <c r="A876" s="97"/>
      <c r="B876" s="97"/>
      <c r="C876" s="97"/>
      <c r="D876" s="97"/>
      <c r="E876" s="97"/>
      <c r="F876" s="97"/>
      <c r="G876" s="97"/>
      <c r="H876" s="97"/>
      <c r="I876" s="97"/>
      <c r="J876" s="97"/>
      <c r="K876" s="97"/>
      <c r="L876" s="97"/>
      <c r="M876" s="97"/>
    </row>
    <row r="877" spans="1:13" ht="15">
      <c r="A877" s="97"/>
      <c r="B877" s="97"/>
      <c r="C877" s="97"/>
      <c r="D877" s="97"/>
      <c r="E877" s="97"/>
      <c r="F877" s="97"/>
      <c r="G877" s="97"/>
      <c r="H877" s="97"/>
      <c r="I877" s="97"/>
      <c r="J877" s="97"/>
      <c r="K877" s="97"/>
      <c r="L877" s="97"/>
      <c r="M877" s="97"/>
    </row>
    <row r="878" spans="1:13" ht="15">
      <c r="A878" s="97"/>
      <c r="B878" s="97"/>
      <c r="C878" s="97"/>
      <c r="D878" s="97"/>
      <c r="E878" s="97"/>
      <c r="F878" s="97"/>
      <c r="G878" s="97"/>
      <c r="H878" s="97"/>
      <c r="I878" s="97"/>
      <c r="J878" s="97"/>
      <c r="K878" s="97"/>
      <c r="L878" s="97"/>
      <c r="M878" s="97"/>
    </row>
    <row r="879" spans="1:13" ht="15">
      <c r="A879" s="97"/>
      <c r="B879" s="97"/>
      <c r="C879" s="97"/>
      <c r="D879" s="97"/>
      <c r="E879" s="97"/>
      <c r="F879" s="97"/>
      <c r="G879" s="97"/>
      <c r="H879" s="97"/>
      <c r="I879" s="97"/>
      <c r="J879" s="97"/>
      <c r="K879" s="97"/>
      <c r="L879" s="97"/>
      <c r="M879" s="97"/>
    </row>
    <row r="880" spans="1:13" ht="15">
      <c r="A880" s="97"/>
      <c r="B880" s="97"/>
      <c r="C880" s="97"/>
      <c r="D880" s="97"/>
      <c r="E880" s="97"/>
      <c r="F880" s="97"/>
      <c r="G880" s="97"/>
      <c r="H880" s="97"/>
      <c r="I880" s="97"/>
      <c r="J880" s="97"/>
      <c r="K880" s="97"/>
      <c r="L880" s="97"/>
      <c r="M880" s="97"/>
    </row>
    <row r="881" spans="1:13" ht="15">
      <c r="A881" s="97"/>
      <c r="B881" s="97"/>
      <c r="C881" s="97"/>
      <c r="D881" s="97"/>
      <c r="E881" s="97"/>
      <c r="F881" s="97"/>
      <c r="G881" s="97"/>
      <c r="H881" s="97"/>
      <c r="I881" s="97"/>
      <c r="J881" s="97"/>
      <c r="K881" s="97"/>
      <c r="L881" s="97"/>
      <c r="M881" s="97"/>
    </row>
    <row r="882" spans="1:13" ht="15">
      <c r="A882" s="97"/>
      <c r="B882" s="97"/>
      <c r="C882" s="97"/>
      <c r="D882" s="97"/>
      <c r="E882" s="97"/>
      <c r="F882" s="97"/>
      <c r="G882" s="97"/>
      <c r="H882" s="97"/>
      <c r="I882" s="97"/>
      <c r="J882" s="97"/>
      <c r="K882" s="97"/>
      <c r="L882" s="97"/>
      <c r="M882" s="97"/>
    </row>
    <row r="883" spans="1:13" ht="15">
      <c r="A883" s="97"/>
      <c r="B883" s="97"/>
      <c r="C883" s="97"/>
      <c r="D883" s="97"/>
      <c r="E883" s="97"/>
      <c r="F883" s="97"/>
      <c r="G883" s="97"/>
      <c r="H883" s="97"/>
      <c r="I883" s="97"/>
      <c r="J883" s="97"/>
      <c r="K883" s="97"/>
      <c r="L883" s="97"/>
      <c r="M883" s="97"/>
    </row>
    <row r="884" spans="1:13" ht="15">
      <c r="A884" s="97"/>
      <c r="B884" s="97"/>
      <c r="C884" s="97"/>
      <c r="D884" s="97"/>
      <c r="E884" s="97"/>
      <c r="F884" s="97"/>
      <c r="G884" s="97"/>
      <c r="H884" s="97"/>
      <c r="I884" s="97"/>
      <c r="J884" s="97"/>
      <c r="K884" s="97"/>
      <c r="L884" s="97"/>
      <c r="M884" s="97"/>
    </row>
    <row r="885" spans="1:13" ht="15">
      <c r="A885" s="97"/>
      <c r="B885" s="97"/>
      <c r="C885" s="97"/>
      <c r="D885" s="97"/>
      <c r="E885" s="97"/>
      <c r="F885" s="97"/>
      <c r="G885" s="97"/>
      <c r="H885" s="97"/>
      <c r="I885" s="97"/>
      <c r="J885" s="97"/>
      <c r="K885" s="97"/>
      <c r="L885" s="97"/>
      <c r="M885" s="97"/>
    </row>
    <row r="886" spans="1:13" ht="15">
      <c r="A886" s="97"/>
      <c r="B886" s="97"/>
      <c r="C886" s="97"/>
      <c r="D886" s="97"/>
      <c r="E886" s="97"/>
      <c r="F886" s="97"/>
      <c r="G886" s="97"/>
      <c r="H886" s="97"/>
      <c r="I886" s="97"/>
      <c r="J886" s="97"/>
      <c r="K886" s="97"/>
      <c r="L886" s="97"/>
      <c r="M886" s="97"/>
    </row>
    <row r="887" spans="1:13" ht="15">
      <c r="A887" s="97"/>
      <c r="B887" s="97"/>
      <c r="C887" s="97"/>
      <c r="D887" s="97"/>
      <c r="E887" s="97"/>
      <c r="F887" s="97"/>
      <c r="G887" s="97"/>
      <c r="H887" s="97"/>
      <c r="I887" s="97"/>
      <c r="J887" s="97"/>
      <c r="K887" s="97"/>
      <c r="L887" s="97"/>
      <c r="M887" s="97"/>
    </row>
    <row r="888" spans="1:13" ht="15">
      <c r="A888" s="97"/>
      <c r="B888" s="97"/>
      <c r="C888" s="97"/>
      <c r="D888" s="97"/>
      <c r="E888" s="97"/>
      <c r="F888" s="97"/>
      <c r="G888" s="97"/>
      <c r="H888" s="97"/>
      <c r="I888" s="97"/>
      <c r="J888" s="97"/>
      <c r="K888" s="97"/>
      <c r="L888" s="97"/>
      <c r="M888" s="97"/>
    </row>
    <row r="889" spans="1:13" ht="15">
      <c r="A889" s="97"/>
      <c r="B889" s="97"/>
      <c r="C889" s="97"/>
      <c r="D889" s="97"/>
      <c r="E889" s="97"/>
      <c r="F889" s="97"/>
      <c r="G889" s="97"/>
      <c r="H889" s="97"/>
      <c r="I889" s="97"/>
      <c r="J889" s="97"/>
      <c r="K889" s="97"/>
      <c r="L889" s="97"/>
      <c r="M889" s="97"/>
    </row>
    <row r="890" spans="1:13" ht="15">
      <c r="A890" s="97"/>
      <c r="B890" s="97"/>
      <c r="C890" s="97"/>
      <c r="D890" s="97"/>
      <c r="E890" s="97"/>
      <c r="F890" s="97"/>
      <c r="G890" s="97"/>
      <c r="H890" s="97"/>
      <c r="I890" s="97"/>
      <c r="J890" s="97"/>
      <c r="K890" s="97"/>
      <c r="L890" s="97"/>
      <c r="M890" s="97"/>
    </row>
    <row r="891" spans="1:13" ht="15">
      <c r="A891" s="97"/>
      <c r="B891" s="97"/>
      <c r="C891" s="97"/>
      <c r="D891" s="97"/>
      <c r="E891" s="97"/>
      <c r="F891" s="97"/>
      <c r="G891" s="97"/>
      <c r="H891" s="97"/>
      <c r="I891" s="97"/>
      <c r="J891" s="97"/>
      <c r="K891" s="97"/>
      <c r="L891" s="97"/>
      <c r="M891" s="97"/>
    </row>
    <row r="892" spans="1:13" ht="15">
      <c r="A892" s="97"/>
      <c r="B892" s="97"/>
      <c r="C892" s="97"/>
      <c r="D892" s="97"/>
      <c r="E892" s="97"/>
      <c r="F892" s="97"/>
      <c r="G892" s="97"/>
      <c r="H892" s="97"/>
      <c r="I892" s="97"/>
      <c r="J892" s="97"/>
      <c r="K892" s="97"/>
      <c r="L892" s="97"/>
      <c r="M892" s="97"/>
    </row>
    <row r="893" spans="1:13" ht="15">
      <c r="A893" s="97"/>
      <c r="B893" s="97"/>
      <c r="C893" s="97"/>
      <c r="D893" s="97"/>
      <c r="E893" s="97"/>
      <c r="F893" s="97"/>
      <c r="G893" s="97"/>
      <c r="H893" s="97"/>
      <c r="I893" s="97"/>
      <c r="J893" s="97"/>
      <c r="K893" s="97"/>
      <c r="L893" s="97"/>
      <c r="M893" s="97"/>
    </row>
    <row r="894" spans="1:13" ht="15">
      <c r="A894" s="97"/>
      <c r="B894" s="97"/>
      <c r="C894" s="97"/>
      <c r="D894" s="97"/>
      <c r="E894" s="97"/>
      <c r="F894" s="97"/>
      <c r="G894" s="97"/>
      <c r="H894" s="97"/>
      <c r="I894" s="97"/>
      <c r="J894" s="97"/>
      <c r="K894" s="97"/>
      <c r="L894" s="97"/>
      <c r="M894" s="97"/>
    </row>
    <row r="895" spans="1:13" ht="15">
      <c r="A895" s="97"/>
      <c r="B895" s="97"/>
      <c r="C895" s="97"/>
      <c r="D895" s="97"/>
      <c r="E895" s="97"/>
      <c r="F895" s="97"/>
      <c r="G895" s="97"/>
      <c r="H895" s="97"/>
      <c r="I895" s="97"/>
      <c r="J895" s="97"/>
      <c r="K895" s="97"/>
      <c r="L895" s="97"/>
      <c r="M895" s="97"/>
    </row>
    <row r="896" spans="1:13" ht="15">
      <c r="A896" s="97"/>
      <c r="B896" s="97"/>
      <c r="C896" s="97"/>
      <c r="D896" s="97"/>
      <c r="E896" s="97"/>
      <c r="F896" s="97"/>
      <c r="G896" s="97"/>
      <c r="H896" s="97"/>
      <c r="I896" s="97"/>
      <c r="J896" s="97"/>
      <c r="K896" s="97"/>
      <c r="L896" s="97"/>
      <c r="M896" s="97"/>
    </row>
    <row r="897" spans="1:13" ht="15">
      <c r="A897" s="97"/>
      <c r="B897" s="97"/>
      <c r="C897" s="97"/>
      <c r="D897" s="97"/>
      <c r="E897" s="97"/>
      <c r="F897" s="97"/>
      <c r="G897" s="97"/>
      <c r="H897" s="97"/>
      <c r="I897" s="97"/>
      <c r="J897" s="97"/>
      <c r="K897" s="97"/>
      <c r="L897" s="97"/>
      <c r="M897" s="97"/>
    </row>
    <row r="898" spans="1:13" ht="15">
      <c r="A898" s="97"/>
      <c r="B898" s="97"/>
      <c r="C898" s="97"/>
      <c r="D898" s="97"/>
      <c r="E898" s="97"/>
      <c r="F898" s="97"/>
      <c r="G898" s="97"/>
      <c r="H898" s="97"/>
      <c r="I898" s="97"/>
      <c r="J898" s="97"/>
      <c r="K898" s="97"/>
      <c r="L898" s="97"/>
      <c r="M898" s="97"/>
    </row>
    <row r="899" spans="1:13" ht="15">
      <c r="A899" s="97"/>
      <c r="B899" s="97"/>
      <c r="C899" s="97"/>
      <c r="D899" s="97"/>
      <c r="E899" s="97"/>
      <c r="F899" s="97"/>
      <c r="G899" s="97"/>
      <c r="H899" s="97"/>
      <c r="I899" s="97"/>
      <c r="J899" s="97"/>
      <c r="K899" s="97"/>
      <c r="L899" s="97"/>
      <c r="M899" s="97"/>
    </row>
    <row r="900" spans="1:13" ht="15">
      <c r="A900" s="97"/>
      <c r="B900" s="97"/>
      <c r="C900" s="97"/>
      <c r="D900" s="97"/>
      <c r="E900" s="97"/>
      <c r="F900" s="97"/>
      <c r="G900" s="97"/>
      <c r="H900" s="97"/>
      <c r="I900" s="97"/>
      <c r="J900" s="97"/>
      <c r="K900" s="97"/>
      <c r="L900" s="97"/>
      <c r="M900" s="97"/>
    </row>
    <row r="901" spans="1:13" ht="15">
      <c r="A901" s="97"/>
      <c r="B901" s="97"/>
      <c r="C901" s="97"/>
      <c r="D901" s="97"/>
      <c r="E901" s="97"/>
      <c r="F901" s="97"/>
      <c r="G901" s="97"/>
      <c r="H901" s="97"/>
      <c r="I901" s="97"/>
      <c r="J901" s="97"/>
      <c r="K901" s="97"/>
      <c r="L901" s="97"/>
      <c r="M901" s="97"/>
    </row>
    <row r="902" spans="1:13" ht="15">
      <c r="A902" s="97"/>
      <c r="B902" s="97"/>
      <c r="C902" s="97"/>
      <c r="D902" s="97"/>
      <c r="E902" s="97"/>
      <c r="F902" s="97"/>
      <c r="G902" s="97"/>
      <c r="H902" s="97"/>
      <c r="I902" s="97"/>
      <c r="J902" s="97"/>
      <c r="K902" s="97"/>
      <c r="L902" s="97"/>
      <c r="M902" s="97"/>
    </row>
    <row r="903" spans="1:13" ht="15">
      <c r="A903" s="97"/>
      <c r="B903" s="97"/>
      <c r="C903" s="97"/>
      <c r="D903" s="97"/>
      <c r="E903" s="97"/>
      <c r="F903" s="97"/>
      <c r="G903" s="97"/>
      <c r="H903" s="97"/>
      <c r="I903" s="97"/>
      <c r="J903" s="97"/>
      <c r="K903" s="97"/>
      <c r="L903" s="97"/>
      <c r="M903" s="97"/>
    </row>
    <row r="904" spans="1:13" ht="15">
      <c r="A904" s="97"/>
      <c r="B904" s="97"/>
      <c r="C904" s="97"/>
      <c r="D904" s="97"/>
      <c r="E904" s="97"/>
      <c r="F904" s="97"/>
      <c r="G904" s="97"/>
      <c r="H904" s="97"/>
      <c r="I904" s="97"/>
      <c r="J904" s="97"/>
      <c r="K904" s="97"/>
      <c r="L904" s="97"/>
      <c r="M904" s="97"/>
    </row>
  </sheetData>
  <sheetProtection/>
  <printOptions/>
  <pageMargins left="0.11" right="0.5" top="0.25" bottom="0.25" header="0.3" footer="0.3"/>
  <pageSetup horizontalDpi="600" verticalDpi="600" orientation="landscape" scale="43" r:id="rId3"/>
  <headerFooter>
    <oddFooter>&amp;C&amp;N</oddFooter>
  </headerFooter>
  <legacyDrawing r:id="rId2"/>
</worksheet>
</file>

<file path=xl/worksheets/sheet8.xml><?xml version="1.0" encoding="utf-8"?>
<worksheet xmlns="http://schemas.openxmlformats.org/spreadsheetml/2006/main" xmlns:r="http://schemas.openxmlformats.org/officeDocument/2006/relationships">
  <dimension ref="A1:I29"/>
  <sheetViews>
    <sheetView zoomScalePageLayoutView="0" workbookViewId="0" topLeftCell="A4">
      <selection activeCell="I17" sqref="I17"/>
    </sheetView>
  </sheetViews>
  <sheetFormatPr defaultColWidth="9.140625" defaultRowHeight="15"/>
  <cols>
    <col min="1" max="1" width="68.00390625" style="0" customWidth="1"/>
    <col min="2" max="2" width="13.140625" style="0" customWidth="1"/>
    <col min="3" max="3" width="18.57421875" style="0" customWidth="1"/>
    <col min="4" max="4" width="13.57421875" style="0" customWidth="1"/>
    <col min="5" max="5" width="18.57421875" style="0" customWidth="1"/>
    <col min="6" max="6" width="14.8515625" style="0" customWidth="1"/>
  </cols>
  <sheetData>
    <row r="1" ht="20.25">
      <c r="A1" s="1" t="s">
        <v>0</v>
      </c>
    </row>
    <row r="2" ht="20.25">
      <c r="A2" s="1" t="s">
        <v>3</v>
      </c>
    </row>
    <row r="3" ht="20.25">
      <c r="A3" s="1" t="s">
        <v>1</v>
      </c>
    </row>
    <row r="4" ht="20.25">
      <c r="A4" s="1" t="s">
        <v>565</v>
      </c>
    </row>
    <row r="5" ht="20.25">
      <c r="A5" s="1" t="s">
        <v>566</v>
      </c>
    </row>
    <row r="7" ht="20.25">
      <c r="A7" s="170" t="s">
        <v>538</v>
      </c>
    </row>
    <row r="9" spans="1:9" ht="15.75">
      <c r="A9" s="6"/>
      <c r="B9" s="235" t="s">
        <v>529</v>
      </c>
      <c r="C9" s="235" t="s">
        <v>529</v>
      </c>
      <c r="D9" s="235" t="s">
        <v>527</v>
      </c>
      <c r="E9" s="235" t="s">
        <v>529</v>
      </c>
      <c r="F9" s="235" t="s">
        <v>536</v>
      </c>
      <c r="G9" s="235" t="s">
        <v>527</v>
      </c>
      <c r="H9" s="6"/>
      <c r="I9" s="6"/>
    </row>
    <row r="10" spans="1:9" ht="15.75">
      <c r="A10" s="6"/>
      <c r="B10" s="235" t="s">
        <v>701</v>
      </c>
      <c r="C10" s="235" t="s">
        <v>703</v>
      </c>
      <c r="D10" s="235" t="s">
        <v>528</v>
      </c>
      <c r="E10" s="235" t="s">
        <v>530</v>
      </c>
      <c r="F10" s="235" t="s">
        <v>537</v>
      </c>
      <c r="G10" s="235" t="s">
        <v>86</v>
      </c>
      <c r="H10" s="6"/>
      <c r="I10" s="6"/>
    </row>
    <row r="11" spans="1:9" ht="15.75">
      <c r="A11" s="6"/>
      <c r="B11" s="6"/>
      <c r="C11" s="6"/>
      <c r="D11" s="235"/>
      <c r="E11" s="235"/>
      <c r="F11" s="235"/>
      <c r="G11" s="235"/>
      <c r="H11" s="6"/>
      <c r="I11" s="6"/>
    </row>
    <row r="12" spans="1:9" ht="15.75">
      <c r="A12" s="6" t="s">
        <v>526</v>
      </c>
      <c r="B12" s="265">
        <f>+'Multifamily Homes Budget.Canaan'!J57</f>
        <v>225</v>
      </c>
      <c r="C12" s="6">
        <f>+'Multifamily Homes Budget.Canaan'!F51</f>
        <v>48</v>
      </c>
      <c r="D12" s="346">
        <f>+B12*C12</f>
        <v>10800</v>
      </c>
      <c r="E12" s="346">
        <f aca="true" t="shared" si="0" ref="E12:E17">+D12</f>
        <v>10800</v>
      </c>
      <c r="F12" s="346">
        <v>7</v>
      </c>
      <c r="G12" s="265">
        <f aca="true" t="shared" si="1" ref="G12:G17">+E12*F12</f>
        <v>75600</v>
      </c>
      <c r="H12" s="6"/>
      <c r="I12" s="6"/>
    </row>
    <row r="13" spans="1:9" ht="15.75">
      <c r="A13" s="224" t="s">
        <v>534</v>
      </c>
      <c r="B13" s="265">
        <f>+'Multifamily Homes Budget.Other'!J57</f>
        <v>2</v>
      </c>
      <c r="C13" s="6">
        <f>+C12</f>
        <v>48</v>
      </c>
      <c r="D13" s="346">
        <f>+B13*C13</f>
        <v>96</v>
      </c>
      <c r="E13" s="346">
        <f t="shared" si="0"/>
        <v>96</v>
      </c>
      <c r="F13" s="346">
        <v>7</v>
      </c>
      <c r="G13" s="6">
        <f t="shared" si="1"/>
        <v>672</v>
      </c>
      <c r="H13" s="6"/>
      <c r="I13" s="6"/>
    </row>
    <row r="14" spans="1:9" ht="15.75">
      <c r="A14" s="224" t="s">
        <v>533</v>
      </c>
      <c r="B14" s="265">
        <f>+B13</f>
        <v>2</v>
      </c>
      <c r="C14" s="6">
        <f>+C12</f>
        <v>48</v>
      </c>
      <c r="D14" s="346">
        <f>+B14*C14</f>
        <v>96</v>
      </c>
      <c r="E14" s="346">
        <f t="shared" si="0"/>
        <v>96</v>
      </c>
      <c r="F14" s="346">
        <v>7</v>
      </c>
      <c r="G14" s="6">
        <f t="shared" si="1"/>
        <v>672</v>
      </c>
      <c r="H14" s="6"/>
      <c r="I14" s="6"/>
    </row>
    <row r="15" spans="1:9" ht="15.75">
      <c r="A15" s="224" t="s">
        <v>535</v>
      </c>
      <c r="B15" s="265">
        <f>+B14</f>
        <v>2</v>
      </c>
      <c r="C15" s="6">
        <f>+C12</f>
        <v>48</v>
      </c>
      <c r="D15" s="346">
        <f>+B15*C15</f>
        <v>96</v>
      </c>
      <c r="E15" s="346">
        <f t="shared" si="0"/>
        <v>96</v>
      </c>
      <c r="F15" s="346">
        <v>7</v>
      </c>
      <c r="G15" s="6">
        <f t="shared" si="1"/>
        <v>672</v>
      </c>
      <c r="H15" s="6"/>
      <c r="I15" s="6"/>
    </row>
    <row r="16" spans="1:9" ht="15.75">
      <c r="A16" s="224" t="s">
        <v>676</v>
      </c>
      <c r="B16" s="265">
        <f>+B15</f>
        <v>2</v>
      </c>
      <c r="C16" s="6">
        <f>+C12</f>
        <v>48</v>
      </c>
      <c r="D16" s="346">
        <f>+B16*C16</f>
        <v>96</v>
      </c>
      <c r="E16" s="346">
        <f t="shared" si="0"/>
        <v>96</v>
      </c>
      <c r="F16" s="346">
        <v>7</v>
      </c>
      <c r="G16" s="6">
        <f t="shared" si="1"/>
        <v>672</v>
      </c>
      <c r="H16" s="6"/>
      <c r="I16" s="6"/>
    </row>
    <row r="17" spans="1:9" ht="15.75">
      <c r="A17" s="224" t="s">
        <v>677</v>
      </c>
      <c r="B17" s="265"/>
      <c r="C17" s="6"/>
      <c r="D17" s="6">
        <f>+'Multifamily Homes Budget.Other'!C340</f>
        <v>50</v>
      </c>
      <c r="E17" s="346">
        <f t="shared" si="0"/>
        <v>50</v>
      </c>
      <c r="F17" s="346">
        <v>7</v>
      </c>
      <c r="G17" s="6">
        <f t="shared" si="1"/>
        <v>350</v>
      </c>
      <c r="H17" s="346">
        <f>SUM(E13:E17)</f>
        <v>434</v>
      </c>
      <c r="I17" s="265">
        <f>SUM(G13:G17)</f>
        <v>3038</v>
      </c>
    </row>
    <row r="18" spans="1:9" ht="15.75">
      <c r="A18" s="6"/>
      <c r="B18" s="6"/>
      <c r="C18" s="6"/>
      <c r="D18" s="6"/>
      <c r="E18" s="6"/>
      <c r="F18" s="6"/>
      <c r="G18" s="6"/>
      <c r="H18" s="6"/>
      <c r="I18" s="6"/>
    </row>
    <row r="19" spans="1:9" ht="15.75">
      <c r="A19" s="6"/>
      <c r="B19" s="6"/>
      <c r="C19" s="6"/>
      <c r="D19" s="6"/>
      <c r="E19" s="6"/>
      <c r="F19" s="6"/>
      <c r="G19" s="6"/>
      <c r="H19" s="6"/>
      <c r="I19" s="6"/>
    </row>
    <row r="20" spans="1:9" ht="15.75">
      <c r="A20" s="210" t="s">
        <v>72</v>
      </c>
      <c r="B20" s="347">
        <f>SUM(B12:B17)</f>
        <v>233</v>
      </c>
      <c r="C20" s="348"/>
      <c r="D20" s="347">
        <f>SUM(D12:D17)</f>
        <v>11234</v>
      </c>
      <c r="E20" s="347">
        <f>SUM(E12:E17)</f>
        <v>11234</v>
      </c>
      <c r="F20" s="204"/>
      <c r="G20" s="347">
        <f>SUM(G12:G17)</f>
        <v>78638</v>
      </c>
      <c r="H20" s="6"/>
      <c r="I20" s="6"/>
    </row>
    <row r="21" spans="1:8" ht="15.75">
      <c r="A21" s="6"/>
      <c r="B21" s="6"/>
      <c r="C21" s="6"/>
      <c r="D21" s="6"/>
      <c r="E21" s="6"/>
      <c r="F21" s="6"/>
      <c r="G21" s="6"/>
      <c r="H21" s="6"/>
    </row>
    <row r="22" spans="1:8" ht="15.75">
      <c r="A22" s="6"/>
      <c r="B22" s="6"/>
      <c r="C22" s="6"/>
      <c r="D22" s="6"/>
      <c r="E22" s="6"/>
      <c r="F22" s="6"/>
      <c r="G22" s="6"/>
      <c r="H22" s="6"/>
    </row>
    <row r="23" spans="1:8" ht="15.75">
      <c r="A23" s="6"/>
      <c r="B23" s="6"/>
      <c r="C23" s="6"/>
      <c r="D23" s="6"/>
      <c r="E23" s="6"/>
      <c r="F23" s="6"/>
      <c r="G23" s="6"/>
      <c r="H23" s="6"/>
    </row>
    <row r="24" spans="1:8" ht="15.75">
      <c r="A24" s="6"/>
      <c r="B24" s="6"/>
      <c r="C24" s="6"/>
      <c r="D24" s="6"/>
      <c r="E24" s="6"/>
      <c r="F24" s="6"/>
      <c r="G24" s="6"/>
      <c r="H24" s="6"/>
    </row>
    <row r="25" spans="1:8" ht="15.75">
      <c r="A25" s="6"/>
      <c r="B25" s="6"/>
      <c r="C25" s="6"/>
      <c r="D25" s="6"/>
      <c r="E25" s="6"/>
      <c r="F25" s="6"/>
      <c r="G25" s="6"/>
      <c r="H25" s="6"/>
    </row>
    <row r="26" spans="1:8" ht="15.75">
      <c r="A26" s="6"/>
      <c r="B26" s="6"/>
      <c r="C26" s="6"/>
      <c r="D26" s="6"/>
      <c r="E26" s="6"/>
      <c r="F26" s="6"/>
      <c r="G26" s="6"/>
      <c r="H26" s="6"/>
    </row>
    <row r="27" spans="1:8" ht="15.75">
      <c r="A27" s="6"/>
      <c r="B27" s="6"/>
      <c r="C27" s="6"/>
      <c r="D27" s="6"/>
      <c r="E27" s="6"/>
      <c r="F27" s="6"/>
      <c r="G27" s="6"/>
      <c r="H27" s="6"/>
    </row>
    <row r="28" spans="1:8" ht="15.75">
      <c r="A28" s="6"/>
      <c r="B28" s="6"/>
      <c r="C28" s="6"/>
      <c r="D28" s="6"/>
      <c r="E28" s="6"/>
      <c r="F28" s="6"/>
      <c r="G28" s="6"/>
      <c r="H28" s="6"/>
    </row>
    <row r="29" spans="1:8" ht="15.75">
      <c r="A29" s="6"/>
      <c r="B29" s="6"/>
      <c r="C29" s="6"/>
      <c r="D29" s="6"/>
      <c r="E29" s="6"/>
      <c r="F29" s="6"/>
      <c r="G29" s="6"/>
      <c r="H29" s="6"/>
    </row>
  </sheetData>
  <sheetProtection/>
  <printOptions/>
  <pageMargins left="0.7" right="0.7" top="0.75" bottom="0.75" header="0.3" footer="0.3"/>
  <pageSetup horizontalDpi="600" verticalDpi="600" orientation="landscape" scale="60" r:id="rId1"/>
</worksheet>
</file>

<file path=xl/worksheets/sheet9.xml><?xml version="1.0" encoding="utf-8"?>
<worksheet xmlns="http://schemas.openxmlformats.org/spreadsheetml/2006/main" xmlns:r="http://schemas.openxmlformats.org/officeDocument/2006/relationships">
  <dimension ref="A1:O155"/>
  <sheetViews>
    <sheetView view="pageBreakPreview" zoomScale="60" zoomScalePageLayoutView="0" workbookViewId="0" topLeftCell="E121">
      <selection activeCell="A127" sqref="A127"/>
    </sheetView>
  </sheetViews>
  <sheetFormatPr defaultColWidth="9.140625" defaultRowHeight="15"/>
  <cols>
    <col min="1" max="1" width="3.8515625" style="0" customWidth="1"/>
    <col min="2" max="2" width="4.7109375" style="0" customWidth="1"/>
    <col min="3" max="3" width="4.00390625" style="0" customWidth="1"/>
    <col min="4" max="4" width="100.00390625" style="0" customWidth="1"/>
    <col min="5" max="5" width="23.421875" style="0" customWidth="1"/>
    <col min="6" max="6" width="20.57421875" style="0" customWidth="1"/>
    <col min="7" max="7" width="18.8515625" style="0" customWidth="1"/>
    <col min="8" max="8" width="20.7109375" style="0" customWidth="1"/>
    <col min="9" max="9" width="19.00390625" style="0" customWidth="1"/>
    <col min="10" max="10" width="21.8515625" style="0" customWidth="1"/>
    <col min="11" max="11" width="21.421875" style="0" customWidth="1"/>
    <col min="12" max="12" width="22.7109375" style="0" customWidth="1"/>
    <col min="13" max="13" width="20.00390625" style="0" customWidth="1"/>
    <col min="14" max="14" width="21.140625" style="0" customWidth="1"/>
    <col min="15" max="15" width="17.7109375" style="0" customWidth="1"/>
  </cols>
  <sheetData>
    <row r="1" ht="20.25">
      <c r="A1" s="1" t="s">
        <v>0</v>
      </c>
    </row>
    <row r="2" ht="20.25">
      <c r="A2" s="1" t="s">
        <v>3</v>
      </c>
    </row>
    <row r="3" ht="20.25">
      <c r="A3" s="1" t="s">
        <v>1</v>
      </c>
    </row>
    <row r="4" ht="20.25">
      <c r="A4" s="1" t="s">
        <v>565</v>
      </c>
    </row>
    <row r="5" ht="20.25">
      <c r="A5" s="1" t="s">
        <v>566</v>
      </c>
    </row>
    <row r="7" spans="4:7" ht="20.25">
      <c r="D7" s="170" t="s">
        <v>632</v>
      </c>
      <c r="E7" s="64"/>
      <c r="F7" s="64"/>
      <c r="G7" s="64"/>
    </row>
    <row r="10" spans="5:13" ht="15">
      <c r="E10" s="55" t="s">
        <v>633</v>
      </c>
      <c r="F10" s="157" t="s">
        <v>634</v>
      </c>
      <c r="G10" s="157" t="s">
        <v>635</v>
      </c>
      <c r="H10" s="157" t="s">
        <v>634</v>
      </c>
      <c r="I10" s="157" t="s">
        <v>634</v>
      </c>
      <c r="J10" s="157" t="s">
        <v>634</v>
      </c>
      <c r="K10" s="157" t="s">
        <v>636</v>
      </c>
      <c r="L10" s="157" t="s">
        <v>636</v>
      </c>
      <c r="M10" s="157" t="s">
        <v>637</v>
      </c>
    </row>
    <row r="11" spans="5:14" ht="15">
      <c r="E11" s="301" t="s">
        <v>80</v>
      </c>
      <c r="F11" s="302"/>
      <c r="G11" s="302"/>
      <c r="H11" s="302"/>
      <c r="I11" s="302"/>
      <c r="J11" s="302" t="s">
        <v>638</v>
      </c>
      <c r="K11" s="302" t="s">
        <v>639</v>
      </c>
      <c r="L11" s="302" t="s">
        <v>640</v>
      </c>
      <c r="M11" s="302" t="s">
        <v>80</v>
      </c>
      <c r="N11" s="300"/>
    </row>
    <row r="12" spans="5:14" ht="15">
      <c r="E12" s="303" t="s">
        <v>641</v>
      </c>
      <c r="F12" s="302" t="s">
        <v>642</v>
      </c>
      <c r="G12" s="302" t="s">
        <v>642</v>
      </c>
      <c r="H12" s="302" t="s">
        <v>643</v>
      </c>
      <c r="I12" s="302" t="s">
        <v>644</v>
      </c>
      <c r="J12" s="321" t="s">
        <v>658</v>
      </c>
      <c r="K12" s="302" t="s">
        <v>645</v>
      </c>
      <c r="L12" s="302" t="s">
        <v>660</v>
      </c>
      <c r="M12" s="302" t="s">
        <v>646</v>
      </c>
      <c r="N12" s="302" t="s">
        <v>72</v>
      </c>
    </row>
    <row r="15" ht="15">
      <c r="E15" s="50" t="str">
        <f>+'5 phase budget'!K10</f>
        <v>TOTAL</v>
      </c>
    </row>
    <row r="16" spans="1:14" ht="15">
      <c r="A16" s="4">
        <v>1</v>
      </c>
      <c r="B16" s="4"/>
      <c r="C16" s="4"/>
      <c r="D16" s="4" t="s">
        <v>540</v>
      </c>
      <c r="E16" s="304">
        <f>+'5 phase budget'!K11</f>
        <v>1500000</v>
      </c>
      <c r="H16" s="154">
        <f>+E16</f>
        <v>1500000</v>
      </c>
      <c r="N16" s="154">
        <f>SUM(F16:M16)</f>
        <v>1500000</v>
      </c>
    </row>
    <row r="17" spans="1:14" ht="15">
      <c r="A17" s="4">
        <v>2</v>
      </c>
      <c r="B17" s="4"/>
      <c r="C17" s="4"/>
      <c r="D17" s="4" t="s">
        <v>121</v>
      </c>
      <c r="E17" s="304">
        <f>+'5 phase budget'!K12</f>
        <v>1500000</v>
      </c>
      <c r="H17" s="154">
        <f>+E17</f>
        <v>1500000</v>
      </c>
      <c r="N17" s="154">
        <f aca="true" t="shared" si="0" ref="N17:N80">SUM(F17:M17)</f>
        <v>1500000</v>
      </c>
    </row>
    <row r="18" spans="1:14" ht="15">
      <c r="A18" s="4">
        <v>3</v>
      </c>
      <c r="B18" s="4"/>
      <c r="C18" s="4"/>
      <c r="D18" s="4" t="s">
        <v>122</v>
      </c>
      <c r="E18" s="304">
        <f>+'5 phase budget'!K13</f>
        <v>2000000</v>
      </c>
      <c r="I18" s="154">
        <f>+E18</f>
        <v>2000000</v>
      </c>
      <c r="N18" s="154">
        <f t="shared" si="0"/>
        <v>2000000</v>
      </c>
    </row>
    <row r="19" spans="1:14" ht="15">
      <c r="A19" s="4">
        <v>4</v>
      </c>
      <c r="B19" s="4"/>
      <c r="C19" s="4"/>
      <c r="D19" s="4" t="s">
        <v>123</v>
      </c>
      <c r="E19" s="304">
        <f>+'5 phase budget'!K14</f>
        <v>0</v>
      </c>
      <c r="N19" s="154">
        <f t="shared" si="0"/>
        <v>0</v>
      </c>
    </row>
    <row r="20" spans="1:14" ht="15">
      <c r="A20" s="4" t="s">
        <v>80</v>
      </c>
      <c r="B20" s="4" t="s">
        <v>124</v>
      </c>
      <c r="C20" s="4"/>
      <c r="D20" s="4" t="s">
        <v>125</v>
      </c>
      <c r="E20" s="304">
        <f>+'5 phase budget'!K15</f>
        <v>773588.375</v>
      </c>
      <c r="H20" s="154">
        <f>+E20</f>
        <v>773588.375</v>
      </c>
      <c r="N20" s="154">
        <f t="shared" si="0"/>
        <v>773588.375</v>
      </c>
    </row>
    <row r="21" spans="1:14" ht="15">
      <c r="A21" s="4"/>
      <c r="B21" s="4" t="s">
        <v>126</v>
      </c>
      <c r="C21" s="4"/>
      <c r="D21" s="4" t="s">
        <v>127</v>
      </c>
      <c r="E21" s="304">
        <f>+'5 phase budget'!K16</f>
        <v>497306.8125</v>
      </c>
      <c r="H21" s="154">
        <f aca="true" t="shared" si="1" ref="H21:H29">+E21</f>
        <v>497306.8125</v>
      </c>
      <c r="N21" s="154">
        <f t="shared" si="0"/>
        <v>497306.8125</v>
      </c>
    </row>
    <row r="22" spans="1:14" ht="15">
      <c r="A22" s="4"/>
      <c r="B22" s="4" t="s">
        <v>128</v>
      </c>
      <c r="C22" s="4"/>
      <c r="D22" s="4" t="s">
        <v>129</v>
      </c>
      <c r="E22" s="304">
        <f>+'5 phase budget'!K17</f>
        <v>138140.78125</v>
      </c>
      <c r="H22" s="154">
        <f t="shared" si="1"/>
        <v>138140.78125</v>
      </c>
      <c r="N22" s="154">
        <f t="shared" si="0"/>
        <v>138140.78125</v>
      </c>
    </row>
    <row r="23" spans="1:14" ht="15">
      <c r="A23" s="4"/>
      <c r="B23" s="4" t="s">
        <v>130</v>
      </c>
      <c r="C23" s="4"/>
      <c r="D23" s="4" t="s">
        <v>131</v>
      </c>
      <c r="E23" s="304">
        <f>+'5 phase budget'!K18</f>
        <v>110512.625</v>
      </c>
      <c r="H23" s="154">
        <f t="shared" si="1"/>
        <v>110512.625</v>
      </c>
      <c r="N23" s="154">
        <f t="shared" si="0"/>
        <v>110512.625</v>
      </c>
    </row>
    <row r="24" spans="1:14" ht="15">
      <c r="A24" s="4"/>
      <c r="B24" s="4" t="s">
        <v>132</v>
      </c>
      <c r="C24" s="4"/>
      <c r="D24" s="4" t="s">
        <v>133</v>
      </c>
      <c r="E24" s="304">
        <f>+'5 phase budget'!K19</f>
        <v>110512.625</v>
      </c>
      <c r="H24" s="154">
        <f t="shared" si="1"/>
        <v>110512.625</v>
      </c>
      <c r="N24" s="154">
        <f t="shared" si="0"/>
        <v>110512.625</v>
      </c>
    </row>
    <row r="25" spans="1:14" ht="15">
      <c r="A25" s="4"/>
      <c r="B25" s="4" t="s">
        <v>134</v>
      </c>
      <c r="C25" s="4"/>
      <c r="D25" s="4" t="s">
        <v>135</v>
      </c>
      <c r="E25" s="304">
        <f>+'5 phase budget'!K20</f>
        <v>55256.3125</v>
      </c>
      <c r="H25" s="154">
        <f t="shared" si="1"/>
        <v>55256.3125</v>
      </c>
      <c r="N25" s="154">
        <f t="shared" si="0"/>
        <v>55256.3125</v>
      </c>
    </row>
    <row r="26" spans="1:14" ht="15">
      <c r="A26" s="4"/>
      <c r="C26" s="4"/>
      <c r="D26" s="305" t="s">
        <v>136</v>
      </c>
      <c r="E26" s="306">
        <f>SUM(E20:E25)</f>
        <v>1685317.53125</v>
      </c>
      <c r="N26" s="154">
        <f t="shared" si="0"/>
        <v>0</v>
      </c>
    </row>
    <row r="27" spans="1:14" ht="15">
      <c r="A27" s="4"/>
      <c r="B27" s="4" t="s">
        <v>137</v>
      </c>
      <c r="C27" s="4"/>
      <c r="D27" s="4" t="s">
        <v>138</v>
      </c>
      <c r="E27" s="304">
        <f>+'5 phase budget'!K22</f>
        <v>168531.753125</v>
      </c>
      <c r="H27" s="154">
        <f t="shared" si="1"/>
        <v>168531.753125</v>
      </c>
      <c r="N27" s="154">
        <f t="shared" si="0"/>
        <v>168531.753125</v>
      </c>
    </row>
    <row r="28" spans="1:14" ht="15">
      <c r="A28" s="4"/>
      <c r="B28" s="4" t="s">
        <v>139</v>
      </c>
      <c r="C28" s="4"/>
      <c r="D28" s="41" t="s">
        <v>140</v>
      </c>
      <c r="E28" s="304">
        <f>+'5 phase budget'!K23</f>
        <v>84265.8765625</v>
      </c>
      <c r="H28" s="154">
        <f t="shared" si="1"/>
        <v>84265.8765625</v>
      </c>
      <c r="N28" s="154">
        <f t="shared" si="0"/>
        <v>84265.8765625</v>
      </c>
    </row>
    <row r="29" spans="1:14" ht="15">
      <c r="A29" s="4"/>
      <c r="B29" s="4" t="s">
        <v>141</v>
      </c>
      <c r="C29" s="4"/>
      <c r="D29" s="4" t="s">
        <v>142</v>
      </c>
      <c r="E29" s="304">
        <f>+'5 phase budget'!K24</f>
        <v>168531.753125</v>
      </c>
      <c r="H29" s="154">
        <f t="shared" si="1"/>
        <v>168531.753125</v>
      </c>
      <c r="N29" s="154">
        <f t="shared" si="0"/>
        <v>168531.753125</v>
      </c>
    </row>
    <row r="30" spans="1:14" ht="15">
      <c r="A30" s="4"/>
      <c r="B30" s="4"/>
      <c r="C30" s="4"/>
      <c r="D30" s="305" t="s">
        <v>648</v>
      </c>
      <c r="E30" s="306">
        <f>SUM(E27:E29)</f>
        <v>421329.3828125</v>
      </c>
      <c r="N30" s="154">
        <f t="shared" si="0"/>
        <v>0</v>
      </c>
    </row>
    <row r="31" spans="1:14" ht="15">
      <c r="A31" s="4">
        <v>5</v>
      </c>
      <c r="B31" s="4"/>
      <c r="C31" s="4"/>
      <c r="D31" s="4" t="s">
        <v>539</v>
      </c>
      <c r="E31" s="304">
        <f>+'5 phase budget'!K26</f>
        <v>500000</v>
      </c>
      <c r="F31" s="154">
        <f>+E31</f>
        <v>500000</v>
      </c>
      <c r="N31" s="154">
        <f t="shared" si="0"/>
        <v>500000</v>
      </c>
    </row>
    <row r="32" spans="1:14" ht="15">
      <c r="A32" s="4">
        <v>6</v>
      </c>
      <c r="B32" s="4" t="s">
        <v>124</v>
      </c>
      <c r="C32" s="4"/>
      <c r="D32" s="4" t="s">
        <v>143</v>
      </c>
      <c r="E32" s="304">
        <f>+'5 phase budget'!K27</f>
        <v>552563.125</v>
      </c>
      <c r="F32" s="154">
        <f>+E32</f>
        <v>552563.125</v>
      </c>
      <c r="N32" s="154">
        <f t="shared" si="0"/>
        <v>552563.125</v>
      </c>
    </row>
    <row r="33" spans="1:14" ht="15">
      <c r="A33" s="4"/>
      <c r="B33" s="4" t="s">
        <v>126</v>
      </c>
      <c r="C33" s="4"/>
      <c r="D33" s="4" t="s">
        <v>144</v>
      </c>
      <c r="E33" s="304">
        <f>+'5 phase budget'!K28</f>
        <v>500000</v>
      </c>
      <c r="F33" s="154">
        <f>+E33</f>
        <v>500000</v>
      </c>
      <c r="N33" s="154">
        <f t="shared" si="0"/>
        <v>500000</v>
      </c>
    </row>
    <row r="34" spans="1:14" ht="15">
      <c r="A34" s="4" t="s">
        <v>80</v>
      </c>
      <c r="B34" s="4" t="s">
        <v>128</v>
      </c>
      <c r="C34" s="4"/>
      <c r="D34" s="4" t="s">
        <v>145</v>
      </c>
      <c r="E34" s="304">
        <f>+'5 phase budget'!K29</f>
        <v>1105126.25</v>
      </c>
      <c r="I34" s="154">
        <f>+E34</f>
        <v>1105126.25</v>
      </c>
      <c r="N34" s="154">
        <f t="shared" si="0"/>
        <v>1105126.25</v>
      </c>
    </row>
    <row r="35" spans="1:14" ht="15">
      <c r="A35" s="4"/>
      <c r="B35" s="4" t="s">
        <v>130</v>
      </c>
      <c r="C35" s="4"/>
      <c r="D35" s="4" t="s">
        <v>146</v>
      </c>
      <c r="E35" s="304">
        <f>+'5 phase budget'!K30</f>
        <v>552563.125</v>
      </c>
      <c r="H35" s="154">
        <f>+E35</f>
        <v>552563.125</v>
      </c>
      <c r="N35" s="154">
        <f t="shared" si="0"/>
        <v>552563.125</v>
      </c>
    </row>
    <row r="36" spans="1:14" ht="15">
      <c r="A36" s="4"/>
      <c r="B36" s="4" t="s">
        <v>132</v>
      </c>
      <c r="C36" s="4"/>
      <c r="D36" s="4" t="s">
        <v>147</v>
      </c>
      <c r="E36" s="304">
        <f>+'5 phase budget'!K31</f>
        <v>2762815.625</v>
      </c>
      <c r="I36" s="154">
        <f>+E36</f>
        <v>2762815.625</v>
      </c>
      <c r="N36" s="154">
        <f t="shared" si="0"/>
        <v>2762815.625</v>
      </c>
    </row>
    <row r="37" spans="1:14" ht="15.75">
      <c r="A37" s="4"/>
      <c r="B37" s="4" t="s">
        <v>134</v>
      </c>
      <c r="C37" s="4"/>
      <c r="D37" s="232" t="s">
        <v>542</v>
      </c>
      <c r="E37" s="304">
        <f>+'5 phase budget'!K32</f>
        <v>580191.28125</v>
      </c>
      <c r="K37" s="154">
        <f>+E37</f>
        <v>580191.28125</v>
      </c>
      <c r="N37" s="154">
        <f t="shared" si="0"/>
        <v>580191.28125</v>
      </c>
    </row>
    <row r="38" spans="1:14" ht="15">
      <c r="A38" s="4"/>
      <c r="B38" s="4"/>
      <c r="C38" s="4"/>
      <c r="D38" s="305" t="s">
        <v>148</v>
      </c>
      <c r="E38" s="306">
        <f>SUM(E31:E37)</f>
        <v>6553259.40625</v>
      </c>
      <c r="N38" s="154">
        <f t="shared" si="0"/>
        <v>0</v>
      </c>
    </row>
    <row r="39" spans="1:14" ht="15">
      <c r="A39" s="4"/>
      <c r="B39" s="4" t="s">
        <v>137</v>
      </c>
      <c r="C39" s="4"/>
      <c r="D39" s="4" t="s">
        <v>138</v>
      </c>
      <c r="E39" s="304">
        <f>+'5 phase budget'!K34</f>
        <v>655325.940625</v>
      </c>
      <c r="F39" s="154">
        <f>SUM(F31:F33)*0.1</f>
        <v>155256.3125</v>
      </c>
      <c r="H39" s="10">
        <f>+H35*0.1</f>
        <v>55256.3125</v>
      </c>
      <c r="I39" s="154">
        <f>SUM(I34:I36)*0.1</f>
        <v>386794.1875</v>
      </c>
      <c r="K39" s="10">
        <f>+K37*0.1</f>
        <v>58019.128125</v>
      </c>
      <c r="N39" s="154">
        <f t="shared" si="0"/>
        <v>655325.940625</v>
      </c>
    </row>
    <row r="40" spans="1:14" ht="15">
      <c r="A40" s="4"/>
      <c r="B40" s="4" t="s">
        <v>139</v>
      </c>
      <c r="C40" s="4"/>
      <c r="D40" s="41" t="s">
        <v>140</v>
      </c>
      <c r="E40" s="304">
        <f>+'5 phase budget'!K35</f>
        <v>327662.9703125</v>
      </c>
      <c r="F40" s="154">
        <f>SUM(F31:F33)*0.05</f>
        <v>77628.15625</v>
      </c>
      <c r="H40" s="10">
        <f>+H35*0.05</f>
        <v>27628.15625</v>
      </c>
      <c r="I40" s="154">
        <f>SUM(I34:I36)*0.05</f>
        <v>193397.09375</v>
      </c>
      <c r="K40" s="10">
        <f>+K37*0.05</f>
        <v>29009.5640625</v>
      </c>
      <c r="N40" s="154">
        <f t="shared" si="0"/>
        <v>327662.9703125</v>
      </c>
    </row>
    <row r="41" spans="1:14" ht="15">
      <c r="A41" s="4"/>
      <c r="B41" s="4" t="s">
        <v>141</v>
      </c>
      <c r="C41" s="4"/>
      <c r="D41" s="4" t="s">
        <v>142</v>
      </c>
      <c r="E41" s="304">
        <f>+'5 phase budget'!K36</f>
        <v>655325.940625</v>
      </c>
      <c r="F41" s="154">
        <f>SUM(F31:F33)*0.1</f>
        <v>155256.3125</v>
      </c>
      <c r="H41" s="10">
        <f>+H35*0.1</f>
        <v>55256.3125</v>
      </c>
      <c r="I41" s="154">
        <f>SUM(I34:I36)*0.1</f>
        <v>386794.1875</v>
      </c>
      <c r="K41" s="10">
        <f>+K37*0.1</f>
        <v>58019.128125</v>
      </c>
      <c r="N41" s="154">
        <f t="shared" si="0"/>
        <v>655325.940625</v>
      </c>
    </row>
    <row r="42" spans="1:14" ht="15">
      <c r="A42" s="4"/>
      <c r="B42" s="4"/>
      <c r="C42" s="4"/>
      <c r="D42" s="305" t="s">
        <v>649</v>
      </c>
      <c r="E42" s="306">
        <f>SUM(E39:E41)</f>
        <v>1638314.8515625</v>
      </c>
      <c r="N42" s="154">
        <f t="shared" si="0"/>
        <v>0</v>
      </c>
    </row>
    <row r="43" spans="1:14" ht="15">
      <c r="A43" s="4">
        <v>7</v>
      </c>
      <c r="B43" s="4"/>
      <c r="C43" s="4"/>
      <c r="D43" s="4" t="s">
        <v>149</v>
      </c>
      <c r="E43" s="304">
        <f>+'5 phase budget'!K38</f>
        <v>2500000</v>
      </c>
      <c r="H43" s="154">
        <f>+E43</f>
        <v>2500000</v>
      </c>
      <c r="N43" s="154">
        <f t="shared" si="0"/>
        <v>2500000</v>
      </c>
    </row>
    <row r="44" spans="1:14" ht="15">
      <c r="A44" s="4">
        <v>8</v>
      </c>
      <c r="B44" s="4"/>
      <c r="C44" s="4"/>
      <c r="D44" s="4" t="s">
        <v>150</v>
      </c>
      <c r="E44" s="304">
        <f>+'5 phase budget'!K39</f>
        <v>2000000</v>
      </c>
      <c r="H44" s="154">
        <f>+E44</f>
        <v>2000000</v>
      </c>
      <c r="N44" s="154">
        <f t="shared" si="0"/>
        <v>2000000</v>
      </c>
    </row>
    <row r="45" spans="1:14" ht="15">
      <c r="A45" s="4">
        <v>9</v>
      </c>
      <c r="B45" s="4"/>
      <c r="C45" s="4"/>
      <c r="D45" s="42" t="s">
        <v>151</v>
      </c>
      <c r="E45" s="304">
        <f>+'5 phase budget'!K40</f>
        <v>2000000</v>
      </c>
      <c r="F45" s="154">
        <f>+E45</f>
        <v>2000000</v>
      </c>
      <c r="N45" s="154">
        <f t="shared" si="0"/>
        <v>2000000</v>
      </c>
    </row>
    <row r="46" spans="1:14" ht="15">
      <c r="A46" s="4"/>
      <c r="B46" s="4" t="s">
        <v>124</v>
      </c>
      <c r="C46" s="4" t="s">
        <v>80</v>
      </c>
      <c r="D46" s="4" t="s">
        <v>152</v>
      </c>
      <c r="E46" s="304">
        <f>+'5 phase budget'!K41</f>
        <v>0</v>
      </c>
      <c r="N46" s="154">
        <f t="shared" si="0"/>
        <v>0</v>
      </c>
    </row>
    <row r="47" spans="1:14" ht="15">
      <c r="A47" s="4"/>
      <c r="B47" s="4" t="s">
        <v>126</v>
      </c>
      <c r="C47" s="4"/>
      <c r="D47" s="4" t="s">
        <v>153</v>
      </c>
      <c r="E47" s="304">
        <f>+'5 phase budget'!K42</f>
        <v>0</v>
      </c>
      <c r="N47" s="154">
        <f t="shared" si="0"/>
        <v>0</v>
      </c>
    </row>
    <row r="48" spans="1:14" ht="15">
      <c r="A48" s="4">
        <v>10</v>
      </c>
      <c r="B48" s="4"/>
      <c r="C48" s="4"/>
      <c r="D48" s="42" t="s">
        <v>154</v>
      </c>
      <c r="E48" s="304">
        <f>+'5 phase budget'!K43</f>
        <v>2000000</v>
      </c>
      <c r="F48" s="154">
        <f>+E48</f>
        <v>2000000</v>
      </c>
      <c r="N48" s="154">
        <f t="shared" si="0"/>
        <v>2000000</v>
      </c>
    </row>
    <row r="49" spans="1:14" ht="15">
      <c r="A49" s="4"/>
      <c r="B49" s="4" t="s">
        <v>124</v>
      </c>
      <c r="C49" s="4" t="s">
        <v>80</v>
      </c>
      <c r="D49" s="4" t="s">
        <v>152</v>
      </c>
      <c r="E49" s="304">
        <f>+'5 phase budget'!K44</f>
        <v>0</v>
      </c>
      <c r="N49" s="154">
        <f t="shared" si="0"/>
        <v>0</v>
      </c>
    </row>
    <row r="50" spans="1:14" ht="15">
      <c r="A50" s="4"/>
      <c r="B50" s="4" t="s">
        <v>126</v>
      </c>
      <c r="C50" s="4"/>
      <c r="D50" s="4" t="s">
        <v>153</v>
      </c>
      <c r="E50" s="304">
        <f>+'5 phase budget'!K45</f>
        <v>0</v>
      </c>
      <c r="N50" s="154">
        <f t="shared" si="0"/>
        <v>0</v>
      </c>
    </row>
    <row r="51" spans="1:14" ht="15">
      <c r="A51" s="4"/>
      <c r="B51" s="4" t="s">
        <v>128</v>
      </c>
      <c r="C51" s="4"/>
      <c r="D51" s="4" t="s">
        <v>155</v>
      </c>
      <c r="E51" s="304">
        <f>+'5 phase budget'!K46</f>
        <v>0</v>
      </c>
      <c r="N51" s="154">
        <f t="shared" si="0"/>
        <v>0</v>
      </c>
    </row>
    <row r="52" spans="1:14" ht="15">
      <c r="A52" s="4">
        <v>11</v>
      </c>
      <c r="B52" s="4"/>
      <c r="C52" s="4"/>
      <c r="D52" s="3" t="s">
        <v>156</v>
      </c>
      <c r="E52" s="304">
        <f>+'5 phase budget'!K47</f>
        <v>2000000</v>
      </c>
      <c r="F52" s="154">
        <f>+E52</f>
        <v>2000000</v>
      </c>
      <c r="N52" s="154">
        <f t="shared" si="0"/>
        <v>2000000</v>
      </c>
    </row>
    <row r="53" spans="1:14" ht="15">
      <c r="A53" s="4">
        <v>12</v>
      </c>
      <c r="B53" s="4"/>
      <c r="C53" s="4"/>
      <c r="D53" s="3" t="s">
        <v>157</v>
      </c>
      <c r="E53" s="304">
        <f>+'5 phase budget'!K48</f>
        <v>750000</v>
      </c>
      <c r="F53" s="154">
        <f>+E53</f>
        <v>750000</v>
      </c>
      <c r="N53" s="154">
        <f t="shared" si="0"/>
        <v>750000</v>
      </c>
    </row>
    <row r="54" spans="1:14" ht="15">
      <c r="A54" s="4">
        <v>13</v>
      </c>
      <c r="B54" s="4"/>
      <c r="C54" s="4"/>
      <c r="D54" s="51" t="s">
        <v>515</v>
      </c>
      <c r="E54" s="304">
        <f>+'5 phase budget'!K49</f>
        <v>163125000</v>
      </c>
      <c r="F54" s="154">
        <f>+E54-8100000-1500000</f>
        <v>153525000</v>
      </c>
      <c r="K54" s="308">
        <v>8100000</v>
      </c>
      <c r="L54" s="308">
        <v>1500000</v>
      </c>
      <c r="N54" s="154">
        <f t="shared" si="0"/>
        <v>163125000</v>
      </c>
    </row>
    <row r="55" spans="1:14" ht="15">
      <c r="A55" s="4"/>
      <c r="B55" s="4" t="s">
        <v>124</v>
      </c>
      <c r="C55" s="4"/>
      <c r="D55" s="282" t="s">
        <v>602</v>
      </c>
      <c r="E55" s="304">
        <f>+'5 phase budget'!K50</f>
        <v>0</v>
      </c>
      <c r="N55" s="154">
        <f t="shared" si="0"/>
        <v>0</v>
      </c>
    </row>
    <row r="56" spans="1:14" ht="15">
      <c r="A56" s="4" t="s">
        <v>80</v>
      </c>
      <c r="B56" s="4" t="s">
        <v>126</v>
      </c>
      <c r="C56" s="4"/>
      <c r="D56" s="42" t="s">
        <v>158</v>
      </c>
      <c r="E56" s="304">
        <f>+'5 phase budget'!K51</f>
        <v>2500000</v>
      </c>
      <c r="F56" s="154">
        <v>1250000</v>
      </c>
      <c r="K56" s="308">
        <v>1250000</v>
      </c>
      <c r="N56" s="154">
        <f t="shared" si="0"/>
        <v>2500000</v>
      </c>
    </row>
    <row r="57" spans="1:14" ht="15">
      <c r="A57" s="4"/>
      <c r="B57" s="4" t="s">
        <v>128</v>
      </c>
      <c r="C57" s="4"/>
      <c r="D57" s="42" t="s">
        <v>514</v>
      </c>
      <c r="E57" s="304">
        <f>+'5 phase budget'!K52</f>
        <v>4000000</v>
      </c>
      <c r="F57" s="154">
        <f>+E57</f>
        <v>4000000</v>
      </c>
      <c r="N57" s="154">
        <f t="shared" si="0"/>
        <v>4000000</v>
      </c>
    </row>
    <row r="58" spans="1:14" ht="15.75">
      <c r="A58" s="4">
        <v>14</v>
      </c>
      <c r="B58" s="4"/>
      <c r="C58" s="4"/>
      <c r="D58" s="224" t="s">
        <v>681</v>
      </c>
      <c r="E58" s="304">
        <f>+'5 phase budget'!K53</f>
        <v>6499999.996115703</v>
      </c>
      <c r="F58" s="154">
        <f>+E58-331750</f>
        <v>6168249.996115703</v>
      </c>
      <c r="K58" s="308">
        <v>331750</v>
      </c>
      <c r="N58" s="154">
        <f t="shared" si="0"/>
        <v>6499999.996115703</v>
      </c>
    </row>
    <row r="59" spans="1:14" ht="15">
      <c r="A59" s="4">
        <v>15</v>
      </c>
      <c r="B59" s="4"/>
      <c r="C59" s="4"/>
      <c r="D59" s="225" t="s">
        <v>509</v>
      </c>
      <c r="E59" s="304">
        <f>+'5 phase budget'!K54</f>
        <v>0</v>
      </c>
      <c r="N59" s="154">
        <f t="shared" si="0"/>
        <v>0</v>
      </c>
    </row>
    <row r="60" spans="1:14" ht="15">
      <c r="A60" s="4"/>
      <c r="B60" s="4" t="s">
        <v>124</v>
      </c>
      <c r="C60" s="4" t="s">
        <v>80</v>
      </c>
      <c r="D60" s="226" t="s">
        <v>583</v>
      </c>
      <c r="E60" s="304">
        <f>+'5 phase budget'!K55</f>
        <v>3000000</v>
      </c>
      <c r="K60" s="308">
        <v>1532736</v>
      </c>
      <c r="M60" s="154">
        <f>+E60-1532736</f>
        <v>1467264</v>
      </c>
      <c r="N60" s="154">
        <f t="shared" si="0"/>
        <v>3000000</v>
      </c>
    </row>
    <row r="61" spans="1:14" ht="15">
      <c r="A61" s="4"/>
      <c r="B61" s="4" t="s">
        <v>126</v>
      </c>
      <c r="C61" s="4"/>
      <c r="D61" s="226" t="s">
        <v>589</v>
      </c>
      <c r="E61" s="304">
        <f>+'5 phase budget'!K56</f>
        <v>3500000</v>
      </c>
      <c r="F61" s="308">
        <f>+E61-1000000</f>
        <v>2500000</v>
      </c>
      <c r="K61" s="308">
        <v>1000000</v>
      </c>
      <c r="N61" s="154">
        <f t="shared" si="0"/>
        <v>3500000</v>
      </c>
    </row>
    <row r="62" spans="1:14" ht="15">
      <c r="A62" s="4">
        <v>16</v>
      </c>
      <c r="B62" s="4"/>
      <c r="C62" s="4"/>
      <c r="D62" s="226" t="s">
        <v>159</v>
      </c>
      <c r="E62" s="304">
        <f>+'5 phase budget'!K57</f>
        <v>2000000</v>
      </c>
      <c r="K62" s="154">
        <f>+E62</f>
        <v>2000000</v>
      </c>
      <c r="N62" s="154">
        <f t="shared" si="0"/>
        <v>2000000</v>
      </c>
    </row>
    <row r="63" spans="1:14" ht="15">
      <c r="A63" s="4">
        <v>17</v>
      </c>
      <c r="B63" s="4"/>
      <c r="C63" s="4"/>
      <c r="D63" s="4" t="s">
        <v>160</v>
      </c>
      <c r="E63" s="304">
        <f>+'5 phase budget'!K58</f>
        <v>2500000</v>
      </c>
      <c r="J63" s="154">
        <f>+E63</f>
        <v>2500000</v>
      </c>
      <c r="N63" s="154">
        <f t="shared" si="0"/>
        <v>2500000</v>
      </c>
    </row>
    <row r="64" spans="1:14" ht="15">
      <c r="A64" s="4">
        <v>18</v>
      </c>
      <c r="B64" s="4"/>
      <c r="C64" s="4"/>
      <c r="D64" s="4" t="s">
        <v>161</v>
      </c>
      <c r="E64" s="304">
        <f>+'5 phase budget'!K59</f>
        <v>2500000</v>
      </c>
      <c r="H64" s="308">
        <v>1250000</v>
      </c>
      <c r="K64" s="308">
        <v>1250000</v>
      </c>
      <c r="N64" s="154">
        <f t="shared" si="0"/>
        <v>2500000</v>
      </c>
    </row>
    <row r="65" spans="1:14" ht="15">
      <c r="A65" s="4">
        <v>19</v>
      </c>
      <c r="B65" s="4"/>
      <c r="C65" s="4"/>
      <c r="D65" s="4" t="s">
        <v>162</v>
      </c>
      <c r="E65" s="304">
        <f>+'5 phase budget'!K60</f>
        <v>2500000</v>
      </c>
      <c r="H65" s="308">
        <v>1250000</v>
      </c>
      <c r="K65" s="308">
        <v>1250000</v>
      </c>
      <c r="N65" s="154">
        <f t="shared" si="0"/>
        <v>2500000</v>
      </c>
    </row>
    <row r="66" spans="1:14" ht="15">
      <c r="A66" s="4">
        <v>20</v>
      </c>
      <c r="B66" s="4"/>
      <c r="C66" s="4"/>
      <c r="D66" s="3" t="s">
        <v>592</v>
      </c>
      <c r="E66" s="304">
        <f>+'5 phase budget'!K61</f>
        <v>1750000</v>
      </c>
      <c r="G66" s="308"/>
      <c r="K66" s="308">
        <f>+E66</f>
        <v>1750000</v>
      </c>
      <c r="N66" s="154">
        <f t="shared" si="0"/>
        <v>1750000</v>
      </c>
    </row>
    <row r="67" spans="1:14" ht="15">
      <c r="A67" s="4"/>
      <c r="B67" s="4" t="s">
        <v>124</v>
      </c>
      <c r="C67" s="4"/>
      <c r="D67" s="3"/>
      <c r="E67" s="304">
        <f>+'5 phase budget'!K62</f>
        <v>0</v>
      </c>
      <c r="N67" s="154">
        <f t="shared" si="0"/>
        <v>0</v>
      </c>
    </row>
    <row r="68" spans="1:14" ht="15">
      <c r="A68" s="4"/>
      <c r="B68" s="4" t="s">
        <v>126</v>
      </c>
      <c r="C68" s="4"/>
      <c r="D68" s="311"/>
      <c r="E68" s="304">
        <f>+'5 phase budget'!K63</f>
        <v>0</v>
      </c>
      <c r="F68" s="312"/>
      <c r="N68" s="154">
        <f t="shared" si="0"/>
        <v>0</v>
      </c>
    </row>
    <row r="69" spans="1:14" ht="15">
      <c r="A69" s="4">
        <v>21</v>
      </c>
      <c r="B69" s="4"/>
      <c r="C69" s="4"/>
      <c r="D69" s="4" t="s">
        <v>163</v>
      </c>
      <c r="E69" s="304">
        <f>+'5 phase budget'!K64</f>
        <v>132615.15</v>
      </c>
      <c r="G69" s="154">
        <f>+E69</f>
        <v>132615.15</v>
      </c>
      <c r="N69" s="154">
        <f t="shared" si="0"/>
        <v>132615.15</v>
      </c>
    </row>
    <row r="70" spans="1:14" ht="15">
      <c r="A70" s="4">
        <v>22</v>
      </c>
      <c r="B70" s="4"/>
      <c r="C70" s="4"/>
      <c r="D70" s="4" t="s">
        <v>164</v>
      </c>
      <c r="E70" s="304">
        <f>+'5 phase budget'!K65</f>
        <v>150000</v>
      </c>
      <c r="F70" s="154">
        <f>+E70</f>
        <v>150000</v>
      </c>
      <c r="N70" s="154">
        <f t="shared" si="0"/>
        <v>150000</v>
      </c>
    </row>
    <row r="71" spans="1:14" ht="15">
      <c r="A71" s="4">
        <v>23</v>
      </c>
      <c r="B71" s="4"/>
      <c r="C71" s="4"/>
      <c r="D71" s="42" t="s">
        <v>165</v>
      </c>
      <c r="E71" s="304">
        <f>+'5 phase budget'!K66</f>
        <v>215290</v>
      </c>
      <c r="G71" s="154">
        <f>+E71</f>
        <v>215290</v>
      </c>
      <c r="N71" s="154">
        <f t="shared" si="0"/>
        <v>215290</v>
      </c>
    </row>
    <row r="72" spans="1:14" ht="15">
      <c r="A72" s="4">
        <v>24</v>
      </c>
      <c r="B72" s="4"/>
      <c r="C72" s="4"/>
      <c r="D72" s="3" t="s">
        <v>511</v>
      </c>
      <c r="E72" s="304">
        <f>+'5 phase budget'!K67</f>
        <v>0</v>
      </c>
      <c r="N72" s="154">
        <f t="shared" si="0"/>
        <v>0</v>
      </c>
    </row>
    <row r="73" spans="1:14" ht="15">
      <c r="A73" s="4"/>
      <c r="B73" s="4" t="s">
        <v>124</v>
      </c>
      <c r="C73" s="4" t="s">
        <v>80</v>
      </c>
      <c r="D73" s="3" t="s">
        <v>510</v>
      </c>
      <c r="E73" s="304">
        <f>+'5 phase budget'!K68</f>
        <v>0</v>
      </c>
      <c r="N73" s="154">
        <f t="shared" si="0"/>
        <v>0</v>
      </c>
    </row>
    <row r="74" spans="1:14" ht="15.75">
      <c r="A74" s="4"/>
      <c r="B74" s="4"/>
      <c r="C74" s="4">
        <v>1</v>
      </c>
      <c r="D74" s="6" t="s">
        <v>5</v>
      </c>
      <c r="E74" s="304">
        <f>+'5 phase budget'!K69</f>
        <v>966985.4687500001</v>
      </c>
      <c r="G74" s="154">
        <f>+E74</f>
        <v>966985.4687500001</v>
      </c>
      <c r="N74" s="154">
        <f t="shared" si="0"/>
        <v>966985.4687500001</v>
      </c>
    </row>
    <row r="75" spans="1:14" ht="15.75">
      <c r="A75" s="4"/>
      <c r="B75" s="4"/>
      <c r="C75" s="4">
        <v>2</v>
      </c>
      <c r="D75" s="6" t="s">
        <v>29</v>
      </c>
      <c r="E75" s="304">
        <f>+'5 phase budget'!K70</f>
        <v>33153.7875</v>
      </c>
      <c r="G75" s="154">
        <f aca="true" t="shared" si="2" ref="G75:G112">+E75</f>
        <v>33153.7875</v>
      </c>
      <c r="N75" s="154">
        <f t="shared" si="0"/>
        <v>33153.7875</v>
      </c>
    </row>
    <row r="76" spans="1:14" ht="15.75">
      <c r="A76" s="4"/>
      <c r="B76" s="4"/>
      <c r="C76" s="4">
        <v>3</v>
      </c>
      <c r="D76" s="6" t="s">
        <v>7</v>
      </c>
      <c r="E76" s="304">
        <f>+'5 phase budget'!K71</f>
        <v>165768.9375</v>
      </c>
      <c r="G76" s="154">
        <f t="shared" si="2"/>
        <v>165768.9375</v>
      </c>
      <c r="N76" s="154">
        <f t="shared" si="0"/>
        <v>165768.9375</v>
      </c>
    </row>
    <row r="77" spans="1:14" ht="15.75">
      <c r="A77" s="4"/>
      <c r="B77" s="4"/>
      <c r="C77" s="4">
        <v>4</v>
      </c>
      <c r="D77" s="6" t="s">
        <v>9</v>
      </c>
      <c r="E77" s="304">
        <f>+'5 phase budget'!K72</f>
        <v>66307.575</v>
      </c>
      <c r="G77" s="154">
        <f t="shared" si="2"/>
        <v>66307.575</v>
      </c>
      <c r="N77" s="154">
        <f t="shared" si="0"/>
        <v>66307.575</v>
      </c>
    </row>
    <row r="78" spans="1:14" ht="15.75">
      <c r="A78" s="4"/>
      <c r="B78" s="4"/>
      <c r="C78" s="4">
        <v>5</v>
      </c>
      <c r="D78" s="6" t="s">
        <v>10</v>
      </c>
      <c r="E78" s="304">
        <f>+'5 phase budget'!K73</f>
        <v>26523.03</v>
      </c>
      <c r="G78" s="154">
        <f t="shared" si="2"/>
        <v>26523.03</v>
      </c>
      <c r="N78" s="154">
        <f t="shared" si="0"/>
        <v>26523.03</v>
      </c>
    </row>
    <row r="79" spans="1:14" ht="15.75">
      <c r="A79" s="4"/>
      <c r="B79" s="4"/>
      <c r="C79" s="4">
        <v>6</v>
      </c>
      <c r="D79" s="6" t="s">
        <v>12</v>
      </c>
      <c r="E79" s="304">
        <f>+'5 phase budget'!K74</f>
        <v>26523.03</v>
      </c>
      <c r="G79" s="154">
        <f t="shared" si="2"/>
        <v>26523.03</v>
      </c>
      <c r="N79" s="154">
        <f t="shared" si="0"/>
        <v>26523.03</v>
      </c>
    </row>
    <row r="80" spans="1:14" ht="15.75">
      <c r="A80" s="4"/>
      <c r="B80" s="4"/>
      <c r="C80" s="4">
        <v>7</v>
      </c>
      <c r="D80" s="6" t="s">
        <v>13</v>
      </c>
      <c r="E80" s="304">
        <f>+'5 phase budget'!K75</f>
        <v>26523.03</v>
      </c>
      <c r="G80" s="154">
        <f t="shared" si="2"/>
        <v>26523.03</v>
      </c>
      <c r="N80" s="154">
        <f t="shared" si="0"/>
        <v>26523.03</v>
      </c>
    </row>
    <row r="81" spans="1:14" ht="15.75">
      <c r="A81" s="4"/>
      <c r="B81" s="4"/>
      <c r="C81" s="4">
        <v>8</v>
      </c>
      <c r="D81" s="6" t="s">
        <v>14</v>
      </c>
      <c r="E81" s="304">
        <f>+'5 phase budget'!K76</f>
        <v>26523.03</v>
      </c>
      <c r="G81" s="154">
        <f t="shared" si="2"/>
        <v>26523.03</v>
      </c>
      <c r="N81" s="154">
        <f aca="true" t="shared" si="3" ref="N81:N139">SUM(F81:M81)</f>
        <v>26523.03</v>
      </c>
    </row>
    <row r="82" spans="1:14" ht="15.75">
      <c r="A82" s="4"/>
      <c r="B82" s="4"/>
      <c r="C82" s="4">
        <v>9</v>
      </c>
      <c r="D82" s="6" t="s">
        <v>15</v>
      </c>
      <c r="E82" s="304">
        <f>+'5 phase budget'!K77</f>
        <v>23207.651250000003</v>
      </c>
      <c r="G82" s="154">
        <f t="shared" si="2"/>
        <v>23207.651250000003</v>
      </c>
      <c r="N82" s="154">
        <f t="shared" si="3"/>
        <v>23207.651250000003</v>
      </c>
    </row>
    <row r="83" spans="1:14" ht="15.75">
      <c r="A83" s="4"/>
      <c r="B83" s="4"/>
      <c r="C83" s="4">
        <v>10</v>
      </c>
      <c r="D83" s="6" t="s">
        <v>16</v>
      </c>
      <c r="E83" s="304">
        <f>+'5 phase budget'!K78</f>
        <v>19892.2725</v>
      </c>
      <c r="G83" s="154">
        <f t="shared" si="2"/>
        <v>19892.2725</v>
      </c>
      <c r="N83" s="154">
        <f t="shared" si="3"/>
        <v>19892.2725</v>
      </c>
    </row>
    <row r="84" spans="1:14" ht="15.75">
      <c r="A84" s="4"/>
      <c r="B84" s="4"/>
      <c r="C84" s="4">
        <v>11</v>
      </c>
      <c r="D84" s="6" t="s">
        <v>17</v>
      </c>
      <c r="E84" s="304">
        <f>+'5 phase budget'!K79</f>
        <v>19892.2725</v>
      </c>
      <c r="G84" s="154">
        <f t="shared" si="2"/>
        <v>19892.2725</v>
      </c>
      <c r="N84" s="154">
        <f t="shared" si="3"/>
        <v>19892.2725</v>
      </c>
    </row>
    <row r="85" spans="1:14" ht="15.75">
      <c r="A85" s="4"/>
      <c r="B85" s="4"/>
      <c r="C85" s="4">
        <v>12</v>
      </c>
      <c r="D85" s="6" t="s">
        <v>18</v>
      </c>
      <c r="E85" s="304">
        <f>+'5 phase budget'!K80</f>
        <v>19892.2725</v>
      </c>
      <c r="G85" s="154">
        <f t="shared" si="2"/>
        <v>19892.2725</v>
      </c>
      <c r="N85" s="154">
        <f t="shared" si="3"/>
        <v>19892.2725</v>
      </c>
    </row>
    <row r="86" spans="1:14" ht="15.75">
      <c r="A86" s="4"/>
      <c r="B86" s="4"/>
      <c r="C86" s="4">
        <v>13</v>
      </c>
      <c r="D86" s="6" t="s">
        <v>19</v>
      </c>
      <c r="E86" s="304">
        <f>+'5 phase budget'!K81</f>
        <v>99461.3625</v>
      </c>
      <c r="G86" s="154">
        <f t="shared" si="2"/>
        <v>99461.3625</v>
      </c>
      <c r="N86" s="154">
        <f t="shared" si="3"/>
        <v>99461.3625</v>
      </c>
    </row>
    <row r="87" spans="1:14" ht="15.75">
      <c r="A87" s="4"/>
      <c r="B87" s="4"/>
      <c r="C87" s="4">
        <v>14</v>
      </c>
      <c r="D87" s="6" t="s">
        <v>21</v>
      </c>
      <c r="E87" s="304">
        <f>+'5 phase budget'!K82</f>
        <v>49730.68125</v>
      </c>
      <c r="G87" s="154">
        <f t="shared" si="2"/>
        <v>49730.68125</v>
      </c>
      <c r="N87" s="154">
        <f t="shared" si="3"/>
        <v>49730.68125</v>
      </c>
    </row>
    <row r="88" spans="1:14" ht="15.75">
      <c r="A88" s="4"/>
      <c r="B88" s="4"/>
      <c r="C88" s="4">
        <v>15</v>
      </c>
      <c r="D88" s="6" t="s">
        <v>23</v>
      </c>
      <c r="E88" s="304">
        <f>+'5 phase budget'!K83</f>
        <v>33153.7875</v>
      </c>
      <c r="G88" s="154">
        <f t="shared" si="2"/>
        <v>33153.7875</v>
      </c>
      <c r="N88" s="154">
        <f t="shared" si="3"/>
        <v>33153.7875</v>
      </c>
    </row>
    <row r="89" spans="1:14" ht="15.75">
      <c r="A89" s="4"/>
      <c r="B89" s="4"/>
      <c r="C89" s="4">
        <v>16</v>
      </c>
      <c r="D89" s="6" t="s">
        <v>24</v>
      </c>
      <c r="E89" s="304">
        <f>+'5 phase budget'!K84</f>
        <v>26523.03</v>
      </c>
      <c r="G89" s="154">
        <f t="shared" si="2"/>
        <v>26523.03</v>
      </c>
      <c r="N89" s="154">
        <f t="shared" si="3"/>
        <v>26523.03</v>
      </c>
    </row>
    <row r="90" spans="1:14" ht="15.75">
      <c r="A90" s="4"/>
      <c r="B90" s="4"/>
      <c r="C90" s="4">
        <v>17</v>
      </c>
      <c r="D90" s="6" t="s">
        <v>25</v>
      </c>
      <c r="E90" s="304">
        <f>+'5 phase budget'!K85</f>
        <v>26523.03</v>
      </c>
      <c r="G90" s="154">
        <f t="shared" si="2"/>
        <v>26523.03</v>
      </c>
      <c r="N90" s="154">
        <f t="shared" si="3"/>
        <v>26523.03</v>
      </c>
    </row>
    <row r="91" spans="1:14" ht="15.75">
      <c r="A91" s="4"/>
      <c r="B91" s="4"/>
      <c r="C91" s="4">
        <v>18</v>
      </c>
      <c r="D91" s="6" t="s">
        <v>26</v>
      </c>
      <c r="E91" s="304">
        <f>+'5 phase budget'!K86</f>
        <v>26523.03</v>
      </c>
      <c r="G91" s="154">
        <f t="shared" si="2"/>
        <v>26523.03</v>
      </c>
      <c r="N91" s="154">
        <f t="shared" si="3"/>
        <v>26523.03</v>
      </c>
    </row>
    <row r="92" spans="1:14" ht="15.75">
      <c r="A92" s="4"/>
      <c r="B92" s="4"/>
      <c r="C92" s="4">
        <v>19</v>
      </c>
      <c r="D92" s="6" t="s">
        <v>27</v>
      </c>
      <c r="E92" s="304">
        <f>+'5 phase budget'!K87</f>
        <v>79569.09</v>
      </c>
      <c r="G92" s="154">
        <f t="shared" si="2"/>
        <v>79569.09</v>
      </c>
      <c r="N92" s="154">
        <f t="shared" si="3"/>
        <v>79569.09</v>
      </c>
    </row>
    <row r="93" spans="1:14" ht="15.75">
      <c r="A93" s="4"/>
      <c r="B93" s="4"/>
      <c r="C93" s="4">
        <v>20</v>
      </c>
      <c r="D93" s="6" t="s">
        <v>28</v>
      </c>
      <c r="E93" s="304">
        <f>+'5 phase budget'!K88</f>
        <v>33153.7875</v>
      </c>
      <c r="G93" s="154">
        <f t="shared" si="2"/>
        <v>33153.7875</v>
      </c>
      <c r="N93" s="154">
        <f t="shared" si="3"/>
        <v>33153.7875</v>
      </c>
    </row>
    <row r="94" spans="1:14" ht="15.75">
      <c r="A94" s="4"/>
      <c r="B94" s="4"/>
      <c r="C94" s="4">
        <v>21</v>
      </c>
      <c r="D94" s="6" t="s">
        <v>31</v>
      </c>
      <c r="E94" s="304">
        <f>+'5 phase budget'!K89</f>
        <v>33153.7875</v>
      </c>
      <c r="G94" s="154">
        <f t="shared" si="2"/>
        <v>33153.7875</v>
      </c>
      <c r="N94" s="154">
        <f t="shared" si="3"/>
        <v>33153.7875</v>
      </c>
    </row>
    <row r="95" spans="1:14" ht="15.75">
      <c r="A95" s="4"/>
      <c r="B95" s="4"/>
      <c r="C95" s="4">
        <v>22</v>
      </c>
      <c r="D95" s="6" t="s">
        <v>32</v>
      </c>
      <c r="E95" s="304">
        <f>+'5 phase budget'!K90</f>
        <v>26523.03</v>
      </c>
      <c r="G95" s="154">
        <f t="shared" si="2"/>
        <v>26523.03</v>
      </c>
      <c r="N95" s="154">
        <f t="shared" si="3"/>
        <v>26523.03</v>
      </c>
    </row>
    <row r="96" spans="1:14" ht="15.75">
      <c r="A96" s="4"/>
      <c r="B96" s="4"/>
      <c r="C96" s="4">
        <v>23</v>
      </c>
      <c r="D96" s="6" t="s">
        <v>33</v>
      </c>
      <c r="E96" s="304">
        <f>+'5 phase budget'!K91</f>
        <v>26523.03</v>
      </c>
      <c r="G96" s="154">
        <f t="shared" si="2"/>
        <v>26523.03</v>
      </c>
      <c r="N96" s="154">
        <f t="shared" si="3"/>
        <v>26523.03</v>
      </c>
    </row>
    <row r="97" spans="1:14" ht="15.75">
      <c r="A97" s="4"/>
      <c r="B97" s="4"/>
      <c r="C97" s="4">
        <v>24</v>
      </c>
      <c r="D97" s="6" t="s">
        <v>34</v>
      </c>
      <c r="E97" s="304">
        <f>+'5 phase budget'!K92</f>
        <v>99461.3625</v>
      </c>
      <c r="G97" s="154">
        <f t="shared" si="2"/>
        <v>99461.3625</v>
      </c>
      <c r="N97" s="154">
        <f t="shared" si="3"/>
        <v>99461.3625</v>
      </c>
    </row>
    <row r="98" spans="1:14" ht="15.75">
      <c r="A98" s="4"/>
      <c r="B98" s="4"/>
      <c r="C98" s="4">
        <v>25</v>
      </c>
      <c r="D98" s="6" t="s">
        <v>35</v>
      </c>
      <c r="E98" s="304">
        <f>+'5 phase budget'!K93</f>
        <v>165768.9375</v>
      </c>
      <c r="G98" s="154">
        <f t="shared" si="2"/>
        <v>165768.9375</v>
      </c>
      <c r="N98" s="154">
        <f t="shared" si="3"/>
        <v>165768.9375</v>
      </c>
    </row>
    <row r="99" spans="1:14" ht="15.75">
      <c r="A99" s="4"/>
      <c r="B99" s="4"/>
      <c r="C99" s="4">
        <v>26</v>
      </c>
      <c r="D99" s="6" t="s">
        <v>36</v>
      </c>
      <c r="E99" s="304">
        <f>+'5 phase budget'!K94</f>
        <v>33153.7875</v>
      </c>
      <c r="G99" s="154">
        <f t="shared" si="2"/>
        <v>33153.7875</v>
      </c>
      <c r="N99" s="154">
        <f t="shared" si="3"/>
        <v>33153.7875</v>
      </c>
    </row>
    <row r="100" spans="1:14" ht="15.75">
      <c r="A100" s="4"/>
      <c r="B100" s="4"/>
      <c r="C100" s="4">
        <v>27</v>
      </c>
      <c r="D100" s="6" t="s">
        <v>37</v>
      </c>
      <c r="E100" s="304">
        <f>+'5 phase budget'!K95</f>
        <v>33153.7875</v>
      </c>
      <c r="G100" s="154">
        <f t="shared" si="2"/>
        <v>33153.7875</v>
      </c>
      <c r="N100" s="154">
        <f t="shared" si="3"/>
        <v>33153.7875</v>
      </c>
    </row>
    <row r="101" spans="1:14" ht="15.75">
      <c r="A101" s="4"/>
      <c r="B101" s="4"/>
      <c r="C101" s="4">
        <v>28</v>
      </c>
      <c r="D101" s="6" t="s">
        <v>38</v>
      </c>
      <c r="E101" s="304">
        <f>+'5 phase budget'!K96</f>
        <v>23207.651250000003</v>
      </c>
      <c r="G101" s="154">
        <f t="shared" si="2"/>
        <v>23207.651250000003</v>
      </c>
      <c r="N101" s="154">
        <f t="shared" si="3"/>
        <v>23207.651250000003</v>
      </c>
    </row>
    <row r="102" spans="1:14" ht="15.75">
      <c r="A102" s="4"/>
      <c r="B102" s="4"/>
      <c r="C102" s="4">
        <v>29</v>
      </c>
      <c r="D102" s="6" t="s">
        <v>40</v>
      </c>
      <c r="E102" s="304">
        <f>+'5 phase budget'!K97</f>
        <v>26523.03</v>
      </c>
      <c r="G102" s="154">
        <f t="shared" si="2"/>
        <v>26523.03</v>
      </c>
      <c r="N102" s="154">
        <f t="shared" si="3"/>
        <v>26523.03</v>
      </c>
    </row>
    <row r="103" spans="1:14" ht="15.75">
      <c r="A103" s="4"/>
      <c r="B103" s="4"/>
      <c r="C103" s="4">
        <v>30</v>
      </c>
      <c r="D103" s="6" t="s">
        <v>41</v>
      </c>
      <c r="E103" s="304">
        <f>+'5 phase budget'!K98</f>
        <v>26523.03</v>
      </c>
      <c r="G103" s="154">
        <f t="shared" si="2"/>
        <v>26523.03</v>
      </c>
      <c r="N103" s="154">
        <f t="shared" si="3"/>
        <v>26523.03</v>
      </c>
    </row>
    <row r="104" spans="1:14" ht="15.75">
      <c r="A104" s="4"/>
      <c r="B104" s="4"/>
      <c r="C104" s="4">
        <v>31</v>
      </c>
      <c r="D104" s="6" t="s">
        <v>42</v>
      </c>
      <c r="E104" s="304">
        <f>+'5 phase budget'!K99</f>
        <v>26523.03</v>
      </c>
      <c r="G104" s="154">
        <f t="shared" si="2"/>
        <v>26523.03</v>
      </c>
      <c r="N104" s="154">
        <f t="shared" si="3"/>
        <v>26523.03</v>
      </c>
    </row>
    <row r="105" spans="1:14" ht="15.75">
      <c r="A105" s="4"/>
      <c r="B105" s="4"/>
      <c r="C105" s="4">
        <v>32</v>
      </c>
      <c r="D105" s="6" t="s">
        <v>43</v>
      </c>
      <c r="E105" s="304">
        <f>+'5 phase budget'!K100</f>
        <v>26523.03</v>
      </c>
      <c r="G105" s="154">
        <f t="shared" si="2"/>
        <v>26523.03</v>
      </c>
      <c r="N105" s="154">
        <f t="shared" si="3"/>
        <v>26523.03</v>
      </c>
    </row>
    <row r="106" spans="1:14" ht="15.75">
      <c r="A106" s="4"/>
      <c r="B106" s="4"/>
      <c r="C106" s="4">
        <v>33</v>
      </c>
      <c r="D106" s="6" t="s">
        <v>44</v>
      </c>
      <c r="E106" s="304">
        <f>+'5 phase budget'!K101</f>
        <v>23207.651250000003</v>
      </c>
      <c r="G106" s="154">
        <f t="shared" si="2"/>
        <v>23207.651250000003</v>
      </c>
      <c r="N106" s="154">
        <f t="shared" si="3"/>
        <v>23207.651250000003</v>
      </c>
    </row>
    <row r="107" spans="1:14" ht="15.75">
      <c r="A107" s="4"/>
      <c r="B107" s="4"/>
      <c r="C107" s="4">
        <v>34</v>
      </c>
      <c r="D107" s="6" t="s">
        <v>45</v>
      </c>
      <c r="E107" s="304">
        <f>+'5 phase budget'!K102</f>
        <v>23207.651250000003</v>
      </c>
      <c r="G107" s="154">
        <f t="shared" si="2"/>
        <v>23207.651250000003</v>
      </c>
      <c r="N107" s="154">
        <f t="shared" si="3"/>
        <v>23207.651250000003</v>
      </c>
    </row>
    <row r="108" spans="1:14" ht="15.75">
      <c r="A108" s="4"/>
      <c r="B108" s="4"/>
      <c r="C108" s="4">
        <v>35</v>
      </c>
      <c r="D108" s="6" t="s">
        <v>46</v>
      </c>
      <c r="E108" s="304">
        <f>+'5 phase budget'!K103</f>
        <v>33153.7875</v>
      </c>
      <c r="G108" s="154">
        <f t="shared" si="2"/>
        <v>33153.7875</v>
      </c>
      <c r="N108" s="154">
        <f t="shared" si="3"/>
        <v>33153.7875</v>
      </c>
    </row>
    <row r="109" spans="1:14" ht="15.75">
      <c r="A109" s="4"/>
      <c r="B109" s="4"/>
      <c r="C109" s="4">
        <v>36</v>
      </c>
      <c r="D109" s="6" t="s">
        <v>47</v>
      </c>
      <c r="E109" s="304">
        <f>+'5 phase budget'!K104</f>
        <v>26523.03</v>
      </c>
      <c r="G109" s="154">
        <f t="shared" si="2"/>
        <v>26523.03</v>
      </c>
      <c r="N109" s="154">
        <f t="shared" si="3"/>
        <v>26523.03</v>
      </c>
    </row>
    <row r="110" spans="1:14" ht="15.75">
      <c r="A110" s="4"/>
      <c r="B110" s="4"/>
      <c r="C110" s="4">
        <v>37</v>
      </c>
      <c r="D110" s="6" t="s">
        <v>48</v>
      </c>
      <c r="E110" s="304">
        <f>+'5 phase budget'!K105</f>
        <v>26523.03</v>
      </c>
      <c r="G110" s="154">
        <f t="shared" si="2"/>
        <v>26523.03</v>
      </c>
      <c r="N110" s="154">
        <f t="shared" si="3"/>
        <v>26523.03</v>
      </c>
    </row>
    <row r="111" spans="1:14" ht="15.75">
      <c r="A111" s="4"/>
      <c r="B111" s="4"/>
      <c r="C111" s="4">
        <v>38</v>
      </c>
      <c r="D111" s="6" t="s">
        <v>49</v>
      </c>
      <c r="E111" s="304">
        <f>+'5 phase budget'!K106</f>
        <v>19892.2725</v>
      </c>
      <c r="G111" s="154">
        <f t="shared" si="2"/>
        <v>19892.2725</v>
      </c>
      <c r="N111" s="154">
        <f t="shared" si="3"/>
        <v>19892.2725</v>
      </c>
    </row>
    <row r="112" spans="1:14" ht="15.75">
      <c r="A112" s="4"/>
      <c r="B112" s="4"/>
      <c r="C112" s="4">
        <v>39</v>
      </c>
      <c r="D112" s="6" t="s">
        <v>50</v>
      </c>
      <c r="E112" s="304">
        <f>+'5 phase budget'!K107</f>
        <v>19892.2725</v>
      </c>
      <c r="G112" s="154">
        <f t="shared" si="2"/>
        <v>19892.2725</v>
      </c>
      <c r="N112" s="154">
        <f t="shared" si="3"/>
        <v>19892.2725</v>
      </c>
    </row>
    <row r="113" spans="1:14" ht="15">
      <c r="A113" s="4"/>
      <c r="B113" s="4"/>
      <c r="C113" s="4"/>
      <c r="D113" s="305" t="s">
        <v>512</v>
      </c>
      <c r="E113" s="306">
        <f>SUM(E73:E112)</f>
        <v>2515267.345</v>
      </c>
      <c r="N113" s="154">
        <f t="shared" si="3"/>
        <v>0</v>
      </c>
    </row>
    <row r="114" spans="1:14" ht="15">
      <c r="A114" s="4"/>
      <c r="B114" s="4" t="s">
        <v>126</v>
      </c>
      <c r="C114" s="4">
        <v>1</v>
      </c>
      <c r="D114" s="4" t="s">
        <v>167</v>
      </c>
      <c r="E114" s="304">
        <f>+'5 phase budget'!K109</f>
        <v>251526.73449999993</v>
      </c>
      <c r="G114" s="154">
        <f>+E114</f>
        <v>251526.73449999993</v>
      </c>
      <c r="N114" s="154">
        <f t="shared" si="3"/>
        <v>251526.73449999993</v>
      </c>
    </row>
    <row r="115" spans="1:14" ht="15">
      <c r="A115" s="4"/>
      <c r="B115" s="4"/>
      <c r="C115" s="4">
        <v>2</v>
      </c>
      <c r="D115" s="4" t="s">
        <v>168</v>
      </c>
      <c r="E115" s="304">
        <f>+'5 phase budget'!K110</f>
        <v>75000</v>
      </c>
      <c r="G115" s="154">
        <f>+E115</f>
        <v>75000</v>
      </c>
      <c r="N115" s="154">
        <f t="shared" si="3"/>
        <v>75000</v>
      </c>
    </row>
    <row r="116" spans="1:14" ht="15">
      <c r="A116" s="4"/>
      <c r="B116" s="4"/>
      <c r="C116" s="4">
        <v>3</v>
      </c>
      <c r="D116" s="4" t="s">
        <v>169</v>
      </c>
      <c r="E116" s="304">
        <f>+'5 phase budget'!K111</f>
        <v>151512.808875</v>
      </c>
      <c r="G116" s="154">
        <f>+E116</f>
        <v>151512.808875</v>
      </c>
      <c r="N116" s="154">
        <f t="shared" si="3"/>
        <v>151512.808875</v>
      </c>
    </row>
    <row r="117" spans="1:14" ht="15">
      <c r="A117" s="4"/>
      <c r="B117" s="4"/>
      <c r="C117" s="4">
        <v>4</v>
      </c>
      <c r="D117" s="4" t="s">
        <v>170</v>
      </c>
      <c r="E117" s="304">
        <f>+'5 phase budget'!K112</f>
        <v>125763.36724999997</v>
      </c>
      <c r="G117" s="154">
        <f>+E117</f>
        <v>125763.36724999997</v>
      </c>
      <c r="N117" s="154">
        <f t="shared" si="3"/>
        <v>125763.36724999997</v>
      </c>
    </row>
    <row r="118" spans="1:14" ht="15">
      <c r="A118" s="4"/>
      <c r="B118" s="4"/>
      <c r="C118" s="4"/>
      <c r="D118" s="305" t="s">
        <v>651</v>
      </c>
      <c r="E118" s="306">
        <f>SUM(E114:E117)</f>
        <v>603802.9106249999</v>
      </c>
      <c r="N118" s="154">
        <f t="shared" si="3"/>
        <v>0</v>
      </c>
    </row>
    <row r="119" spans="1:14" ht="15">
      <c r="A119" s="4">
        <v>25</v>
      </c>
      <c r="B119" s="4"/>
      <c r="C119" s="4"/>
      <c r="D119" s="3" t="s">
        <v>166</v>
      </c>
      <c r="E119" s="304">
        <f>+'5 phase budget'!K114</f>
        <v>0</v>
      </c>
      <c r="N119" s="154">
        <f t="shared" si="3"/>
        <v>0</v>
      </c>
    </row>
    <row r="120" spans="1:14" ht="15">
      <c r="A120" s="4"/>
      <c r="B120" t="s">
        <v>124</v>
      </c>
      <c r="C120" s="4"/>
      <c r="D120" s="4" t="s">
        <v>171</v>
      </c>
      <c r="E120" s="304">
        <f>+'5 phase budget'!K115</f>
        <v>250000</v>
      </c>
      <c r="G120" s="154">
        <f aca="true" t="shared" si="4" ref="G120:G137">+E120</f>
        <v>250000</v>
      </c>
      <c r="N120" s="154">
        <f t="shared" si="3"/>
        <v>250000</v>
      </c>
    </row>
    <row r="121" spans="1:14" ht="15">
      <c r="A121" s="4"/>
      <c r="B121" t="s">
        <v>126</v>
      </c>
      <c r="C121" s="4"/>
      <c r="D121" s="4" t="s">
        <v>172</v>
      </c>
      <c r="E121" s="304">
        <f>+'5 phase budget'!K116</f>
        <v>150000</v>
      </c>
      <c r="G121" s="154">
        <f t="shared" si="4"/>
        <v>150000</v>
      </c>
      <c r="N121" s="154">
        <f t="shared" si="3"/>
        <v>150000</v>
      </c>
    </row>
    <row r="122" spans="1:14" ht="15">
      <c r="A122" s="4"/>
      <c r="B122" s="4" t="s">
        <v>128</v>
      </c>
      <c r="C122" s="4"/>
      <c r="D122" s="4" t="s">
        <v>173</v>
      </c>
      <c r="E122" s="304">
        <f>+'5 phase budget'!K117</f>
        <v>120000</v>
      </c>
      <c r="G122" s="154">
        <f t="shared" si="4"/>
        <v>120000</v>
      </c>
      <c r="N122" s="154">
        <f t="shared" si="3"/>
        <v>120000</v>
      </c>
    </row>
    <row r="123" spans="1:14" ht="15">
      <c r="A123" s="4"/>
      <c r="B123" s="4" t="s">
        <v>130</v>
      </c>
      <c r="C123" s="4"/>
      <c r="D123" s="4" t="s">
        <v>174</v>
      </c>
      <c r="E123" s="304">
        <f>+'5 phase budget'!K118</f>
        <v>120000</v>
      </c>
      <c r="G123" s="154">
        <f t="shared" si="4"/>
        <v>120000</v>
      </c>
      <c r="N123" s="154">
        <f t="shared" si="3"/>
        <v>120000</v>
      </c>
    </row>
    <row r="124" spans="1:14" ht="15">
      <c r="A124" s="4"/>
      <c r="B124" s="4" t="s">
        <v>132</v>
      </c>
      <c r="C124" s="4"/>
      <c r="D124" s="4" t="s">
        <v>513</v>
      </c>
      <c r="E124" s="304">
        <f>+'5 phase budget'!K119</f>
        <v>250000</v>
      </c>
      <c r="G124" s="154">
        <f t="shared" si="4"/>
        <v>250000</v>
      </c>
      <c r="N124" s="154">
        <f t="shared" si="3"/>
        <v>250000</v>
      </c>
    </row>
    <row r="125" spans="1:14" ht="15">
      <c r="A125" s="4"/>
      <c r="B125" s="4" t="s">
        <v>134</v>
      </c>
      <c r="C125" s="4"/>
      <c r="D125" s="4" t="s">
        <v>175</v>
      </c>
      <c r="E125" s="304">
        <f>+'5 phase budget'!K120</f>
        <v>150000</v>
      </c>
      <c r="G125" s="154">
        <f t="shared" si="4"/>
        <v>150000</v>
      </c>
      <c r="N125" s="154">
        <f t="shared" si="3"/>
        <v>150000</v>
      </c>
    </row>
    <row r="126" spans="1:14" ht="15">
      <c r="A126" s="4"/>
      <c r="B126" s="4" t="s">
        <v>137</v>
      </c>
      <c r="C126" s="4"/>
      <c r="D126" s="4" t="s">
        <v>176</v>
      </c>
      <c r="E126" s="304">
        <f>+'5 phase budget'!K121</f>
        <v>1500</v>
      </c>
      <c r="G126" s="154">
        <f t="shared" si="4"/>
        <v>1500</v>
      </c>
      <c r="N126" s="154">
        <f t="shared" si="3"/>
        <v>1500</v>
      </c>
    </row>
    <row r="127" spans="1:14" ht="15">
      <c r="A127" s="4"/>
      <c r="B127" s="4" t="s">
        <v>139</v>
      </c>
      <c r="C127" s="4"/>
      <c r="D127" s="4" t="s">
        <v>178</v>
      </c>
      <c r="E127" s="304">
        <f>+'5 phase budget'!K122</f>
        <v>60000</v>
      </c>
      <c r="G127" s="154">
        <f t="shared" si="4"/>
        <v>60000</v>
      </c>
      <c r="N127" s="154">
        <f t="shared" si="3"/>
        <v>60000</v>
      </c>
    </row>
    <row r="128" spans="1:14" ht="15">
      <c r="A128" s="4"/>
      <c r="B128" s="4" t="s">
        <v>141</v>
      </c>
      <c r="C128" s="4"/>
      <c r="D128" s="4" t="s">
        <v>180</v>
      </c>
      <c r="E128" s="304">
        <f>+'5 phase budget'!K123</f>
        <v>10000</v>
      </c>
      <c r="G128" s="154">
        <f t="shared" si="4"/>
        <v>10000</v>
      </c>
      <c r="N128" s="154">
        <f t="shared" si="3"/>
        <v>10000</v>
      </c>
    </row>
    <row r="129" spans="1:14" ht="15">
      <c r="A129" s="4"/>
      <c r="B129" s="4" t="s">
        <v>177</v>
      </c>
      <c r="C129" s="4"/>
      <c r="D129" s="4" t="s">
        <v>182</v>
      </c>
      <c r="E129" s="304">
        <f>+'5 phase budget'!K124</f>
        <v>10000</v>
      </c>
      <c r="G129" s="154">
        <f t="shared" si="4"/>
        <v>10000</v>
      </c>
      <c r="N129" s="154">
        <f t="shared" si="3"/>
        <v>10000</v>
      </c>
    </row>
    <row r="130" spans="1:14" ht="15">
      <c r="A130" s="4"/>
      <c r="B130" s="4" t="s">
        <v>179</v>
      </c>
      <c r="C130" s="4"/>
      <c r="D130" s="4" t="s">
        <v>184</v>
      </c>
      <c r="E130" s="304">
        <f>+'5 phase budget'!K125</f>
        <v>37500</v>
      </c>
      <c r="G130" s="154">
        <f t="shared" si="4"/>
        <v>37500</v>
      </c>
      <c r="N130" s="154">
        <f t="shared" si="3"/>
        <v>37500</v>
      </c>
    </row>
    <row r="131" spans="1:14" ht="15">
      <c r="A131" s="4"/>
      <c r="B131" s="4" t="s">
        <v>181</v>
      </c>
      <c r="C131" s="4"/>
      <c r="D131" s="4" t="s">
        <v>186</v>
      </c>
      <c r="E131" s="304">
        <f>+'5 phase budget'!K126</f>
        <v>6000</v>
      </c>
      <c r="G131" s="154">
        <f t="shared" si="4"/>
        <v>6000</v>
      </c>
      <c r="N131" s="154">
        <f t="shared" si="3"/>
        <v>6000</v>
      </c>
    </row>
    <row r="132" spans="1:14" ht="15">
      <c r="A132" s="4"/>
      <c r="B132" s="4" t="s">
        <v>183</v>
      </c>
      <c r="C132" s="4"/>
      <c r="D132" s="4" t="s">
        <v>188</v>
      </c>
      <c r="E132" s="304">
        <f>+'5 phase budget'!K127</f>
        <v>6000</v>
      </c>
      <c r="G132" s="154">
        <f t="shared" si="4"/>
        <v>6000</v>
      </c>
      <c r="N132" s="154">
        <f t="shared" si="3"/>
        <v>6000</v>
      </c>
    </row>
    <row r="133" spans="1:14" ht="15">
      <c r="A133" s="4"/>
      <c r="B133" s="4" t="s">
        <v>185</v>
      </c>
      <c r="C133" s="4"/>
      <c r="D133" s="4" t="s">
        <v>190</v>
      </c>
      <c r="E133" s="304">
        <f>+'5 phase budget'!K128</f>
        <v>2500</v>
      </c>
      <c r="G133" s="154">
        <f t="shared" si="4"/>
        <v>2500</v>
      </c>
      <c r="N133" s="154">
        <f t="shared" si="3"/>
        <v>2500</v>
      </c>
    </row>
    <row r="134" spans="1:14" ht="15">
      <c r="A134" s="4"/>
      <c r="B134" s="4" t="s">
        <v>187</v>
      </c>
      <c r="C134" s="4"/>
      <c r="D134" s="4" t="s">
        <v>192</v>
      </c>
      <c r="E134" s="304">
        <f>+'5 phase budget'!K129</f>
        <v>15000</v>
      </c>
      <c r="G134" s="154">
        <f t="shared" si="4"/>
        <v>15000</v>
      </c>
      <c r="N134" s="154">
        <f t="shared" si="3"/>
        <v>15000</v>
      </c>
    </row>
    <row r="135" spans="1:14" ht="15">
      <c r="A135" s="4"/>
      <c r="B135" s="4" t="s">
        <v>189</v>
      </c>
      <c r="C135" s="4"/>
      <c r="D135" s="4" t="s">
        <v>194</v>
      </c>
      <c r="E135" s="304">
        <f>+'5 phase budget'!K130</f>
        <v>5000</v>
      </c>
      <c r="G135" s="154">
        <f t="shared" si="4"/>
        <v>5000</v>
      </c>
      <c r="N135" s="154">
        <f t="shared" si="3"/>
        <v>5000</v>
      </c>
    </row>
    <row r="136" spans="1:14" ht="15">
      <c r="A136" s="4"/>
      <c r="B136" s="4" t="s">
        <v>191</v>
      </c>
      <c r="C136" s="4"/>
      <c r="D136" s="4" t="s">
        <v>195</v>
      </c>
      <c r="E136" s="304">
        <f>+'5 phase budget'!K131</f>
        <v>6500</v>
      </c>
      <c r="G136" s="154">
        <f t="shared" si="4"/>
        <v>6500</v>
      </c>
      <c r="N136" s="154">
        <f t="shared" si="3"/>
        <v>6500</v>
      </c>
    </row>
    <row r="137" spans="1:14" ht="15">
      <c r="A137" s="4"/>
      <c r="B137" s="4" t="s">
        <v>193</v>
      </c>
      <c r="C137" s="4"/>
      <c r="D137" s="4" t="s">
        <v>196</v>
      </c>
      <c r="E137" s="304">
        <f>+'5 phase budget'!K132</f>
        <v>250000</v>
      </c>
      <c r="G137" s="154">
        <f t="shared" si="4"/>
        <v>250000</v>
      </c>
      <c r="N137" s="154">
        <f t="shared" si="3"/>
        <v>250000</v>
      </c>
    </row>
    <row r="138" spans="1:14" ht="15">
      <c r="A138" s="4"/>
      <c r="B138" s="4"/>
      <c r="C138" s="4"/>
      <c r="D138" s="313" t="s">
        <v>647</v>
      </c>
      <c r="E138" s="314"/>
      <c r="F138" s="166">
        <f>+F153</f>
        <v>4029566.996451583</v>
      </c>
      <c r="G138" s="166">
        <f>-E152</f>
        <v>-4916975.405624999</v>
      </c>
      <c r="H138" s="166">
        <f>+H153</f>
        <v>292526.8089692638</v>
      </c>
      <c r="I138" s="166">
        <f>+I153</f>
        <v>156235.42039891743</v>
      </c>
      <c r="J138" s="137"/>
      <c r="K138" s="166">
        <f>+K153</f>
        <v>438646.1798052343</v>
      </c>
      <c r="L138" s="137"/>
      <c r="M138" s="137"/>
      <c r="N138" s="154">
        <f t="shared" si="3"/>
        <v>0</v>
      </c>
    </row>
    <row r="139" spans="1:14" ht="15">
      <c r="A139" s="4"/>
      <c r="B139" s="4"/>
      <c r="C139" s="4"/>
      <c r="D139" s="4"/>
      <c r="E139" s="307">
        <f>+'5 phase budget'!K133</f>
        <v>0</v>
      </c>
      <c r="N139" s="154">
        <f t="shared" si="3"/>
        <v>0</v>
      </c>
    </row>
    <row r="140" spans="1:15" ht="15">
      <c r="A140" s="4"/>
      <c r="B140" s="4"/>
      <c r="C140" s="4"/>
      <c r="D140" s="3" t="s">
        <v>197</v>
      </c>
      <c r="E140" s="309">
        <f aca="true" t="shared" si="5" ref="E140:M140">SUM(E16:E139)-E26-E30-E38-E42-E113-E118</f>
        <v>225490196.57361576</v>
      </c>
      <c r="F140" s="309">
        <f t="shared" si="5"/>
        <v>180313520.8988173</v>
      </c>
      <c r="G140" s="309">
        <f t="shared" si="5"/>
        <v>0</v>
      </c>
      <c r="H140" s="309">
        <f t="shared" si="5"/>
        <v>13089877.629281763</v>
      </c>
      <c r="I140" s="309">
        <f t="shared" si="5"/>
        <v>6991162.764148917</v>
      </c>
      <c r="J140" s="309">
        <f t="shared" si="5"/>
        <v>2500000</v>
      </c>
      <c r="K140" s="309">
        <f t="shared" si="5"/>
        <v>19628371.281367734</v>
      </c>
      <c r="L140" s="309">
        <f t="shared" si="5"/>
        <v>1500000</v>
      </c>
      <c r="M140" s="309">
        <f t="shared" si="5"/>
        <v>1467264</v>
      </c>
      <c r="N140" s="309">
        <f>SUM(F140:M140)</f>
        <v>225490196.57361573</v>
      </c>
      <c r="O140" s="154">
        <f>SUM(N16:N137)</f>
        <v>225490196.57361576</v>
      </c>
    </row>
    <row r="141" spans="1:5" ht="15">
      <c r="A141" s="4"/>
      <c r="B141" s="4"/>
      <c r="C141" s="4"/>
      <c r="D141" s="4"/>
      <c r="E141" s="304">
        <f>+'5 phase budget'!K135</f>
        <v>0</v>
      </c>
    </row>
    <row r="142" spans="1:14" ht="15.75">
      <c r="A142" s="4">
        <v>26</v>
      </c>
      <c r="B142" s="4"/>
      <c r="C142" s="4"/>
      <c r="D142" s="6" t="s">
        <v>653</v>
      </c>
      <c r="E142" s="304">
        <f>+E140*0.02-0.51</f>
        <v>4509803.421472316</v>
      </c>
      <c r="F142" s="154"/>
      <c r="G142" s="154">
        <f>+E142</f>
        <v>4509803.421472316</v>
      </c>
      <c r="N142" s="10">
        <f>SUM(F142:M142)</f>
        <v>4509803.421472316</v>
      </c>
    </row>
    <row r="143" spans="1:14" ht="15">
      <c r="A143" s="4" t="s">
        <v>80</v>
      </c>
      <c r="B143" s="4"/>
      <c r="C143" s="4"/>
      <c r="D143" s="4" t="s">
        <v>654</v>
      </c>
      <c r="E143" s="304" t="s">
        <v>80</v>
      </c>
      <c r="F143" s="308">
        <f>+F140/E140*E142</f>
        <v>3606270.0101542016</v>
      </c>
      <c r="G143" s="308">
        <f>-E142</f>
        <v>-4509803.421472316</v>
      </c>
      <c r="H143" s="308">
        <f>+H140/E140*E142</f>
        <v>261797.5229797469</v>
      </c>
      <c r="I143" s="308">
        <f>+I140/E140*E142</f>
        <v>139823.239470792</v>
      </c>
      <c r="J143" s="308">
        <f>+J140/E140*E142</f>
        <v>49999.99434565219</v>
      </c>
      <c r="K143" s="308">
        <f>+K140/E140*E142</f>
        <v>392567.38123309944</v>
      </c>
      <c r="L143" s="308">
        <f>+L140/E140*E142</f>
        <v>29999.996607391317</v>
      </c>
      <c r="M143" s="308">
        <f>+M140/E140*E142</f>
        <v>29345.276681431606</v>
      </c>
      <c r="N143" s="10">
        <f>SUM(F143:M143)</f>
        <v>-5.675246939063072E-10</v>
      </c>
    </row>
    <row r="144" spans="1:14" ht="15">
      <c r="A144" s="4"/>
      <c r="B144" s="4"/>
      <c r="C144" s="4"/>
      <c r="D144" s="4"/>
      <c r="E144" s="307">
        <f>+'5 phase budget'!K139</f>
        <v>0</v>
      </c>
      <c r="F144" s="315"/>
      <c r="G144" s="315"/>
      <c r="H144" s="315"/>
      <c r="I144" s="315"/>
      <c r="J144" s="315"/>
      <c r="K144" s="315"/>
      <c r="L144" s="315"/>
      <c r="M144" s="315"/>
      <c r="N144" s="315"/>
    </row>
    <row r="145" spans="1:14" ht="16.5" thickBot="1">
      <c r="A145" s="4"/>
      <c r="B145" s="4"/>
      <c r="C145" s="4"/>
      <c r="D145" s="6" t="s">
        <v>72</v>
      </c>
      <c r="E145" s="310">
        <f>+E140+E142</f>
        <v>229999999.99508807</v>
      </c>
      <c r="F145" s="316">
        <f>SUM(F140:F143)</f>
        <v>183919790.9089715</v>
      </c>
      <c r="G145" s="316">
        <f aca="true" t="shared" si="6" ref="G145:M145">SUM(G140:G143)</f>
        <v>0</v>
      </c>
      <c r="H145" s="316">
        <f t="shared" si="6"/>
        <v>13351675.15226151</v>
      </c>
      <c r="I145" s="316">
        <f t="shared" si="6"/>
        <v>7130986.003619709</v>
      </c>
      <c r="J145" s="316">
        <f t="shared" si="6"/>
        <v>2549999.9943456524</v>
      </c>
      <c r="K145" s="316">
        <f t="shared" si="6"/>
        <v>20020938.662600834</v>
      </c>
      <c r="L145" s="316">
        <f t="shared" si="6"/>
        <v>1529999.9966073914</v>
      </c>
      <c r="M145" s="316">
        <f t="shared" si="6"/>
        <v>1496609.2766814316</v>
      </c>
      <c r="N145" s="317">
        <f>SUM(F145:M145)</f>
        <v>229999999.995088</v>
      </c>
    </row>
    <row r="146" spans="1:14" ht="17.25" thickBot="1" thickTop="1">
      <c r="A146" s="4"/>
      <c r="B146" s="4"/>
      <c r="C146" s="4"/>
      <c r="D146" s="319" t="s">
        <v>656</v>
      </c>
      <c r="E146" s="318"/>
      <c r="F146" s="320">
        <f>+F145/E145</f>
        <v>0.7996512648386926</v>
      </c>
      <c r="G146" s="320"/>
      <c r="H146" s="320">
        <f>+H145/E145</f>
        <v>0.05805076153281153</v>
      </c>
      <c r="I146" s="320">
        <f>+I145/E145</f>
        <v>0.03100428697292174</v>
      </c>
      <c r="J146" s="320">
        <f>+J145/E145</f>
        <v>0.011086956497391786</v>
      </c>
      <c r="K146" s="320">
        <f>+K145/E145</f>
        <v>0.08704755940447133</v>
      </c>
      <c r="L146" s="320">
        <f>+L145/E145</f>
        <v>0.006652173898435071</v>
      </c>
      <c r="M146" s="320">
        <f>+M145/E145</f>
        <v>0.006506996855275624</v>
      </c>
      <c r="N146" s="317">
        <f>SUM(F146:M146)</f>
        <v>0.9999999999999998</v>
      </c>
    </row>
    <row r="147" spans="1:13" ht="16.5" thickTop="1">
      <c r="A147" s="4"/>
      <c r="B147" s="4"/>
      <c r="C147" s="4"/>
      <c r="D147" s="6"/>
      <c r="E147" s="55" t="s">
        <v>633</v>
      </c>
      <c r="F147" s="157" t="s">
        <v>634</v>
      </c>
      <c r="G147" s="157" t="s">
        <v>635</v>
      </c>
      <c r="H147" s="157" t="s">
        <v>634</v>
      </c>
      <c r="I147" s="157" t="s">
        <v>634</v>
      </c>
      <c r="J147" s="157" t="s">
        <v>634</v>
      </c>
      <c r="K147" s="157" t="s">
        <v>636</v>
      </c>
      <c r="L147" s="157" t="s">
        <v>636</v>
      </c>
      <c r="M147" s="157" t="s">
        <v>637</v>
      </c>
    </row>
    <row r="148" spans="1:14" ht="15.75">
      <c r="A148" s="4"/>
      <c r="B148" s="4"/>
      <c r="C148" s="4"/>
      <c r="D148" s="6"/>
      <c r="E148" s="301" t="s">
        <v>80</v>
      </c>
      <c r="F148" s="302"/>
      <c r="G148" s="302"/>
      <c r="H148" s="302"/>
      <c r="I148" s="302"/>
      <c r="J148" s="302" t="s">
        <v>638</v>
      </c>
      <c r="K148" s="302" t="s">
        <v>639</v>
      </c>
      <c r="L148" s="302" t="s">
        <v>640</v>
      </c>
      <c r="M148" s="302" t="s">
        <v>80</v>
      </c>
      <c r="N148" s="300"/>
    </row>
    <row r="149" spans="1:14" ht="15.75">
      <c r="A149" s="4"/>
      <c r="B149" s="4"/>
      <c r="C149" s="4"/>
      <c r="D149" s="6"/>
      <c r="E149" s="303" t="s">
        <v>641</v>
      </c>
      <c r="F149" s="302" t="s">
        <v>642</v>
      </c>
      <c r="G149" s="302" t="s">
        <v>642</v>
      </c>
      <c r="H149" s="302" t="s">
        <v>643</v>
      </c>
      <c r="I149" s="302" t="s">
        <v>644</v>
      </c>
      <c r="J149" s="321" t="s">
        <v>657</v>
      </c>
      <c r="K149" s="302" t="s">
        <v>645</v>
      </c>
      <c r="L149" s="302" t="s">
        <v>659</v>
      </c>
      <c r="M149" s="302" t="s">
        <v>646</v>
      </c>
      <c r="N149" s="302" t="s">
        <v>72</v>
      </c>
    </row>
    <row r="150" ht="15">
      <c r="M150" t="s">
        <v>661</v>
      </c>
    </row>
    <row r="151" spans="4:14" ht="15">
      <c r="D151" s="4" t="s">
        <v>655</v>
      </c>
      <c r="F151" s="10">
        <v>176283953.9023657</v>
      </c>
      <c r="G151" s="10"/>
      <c r="H151" s="10">
        <v>12797350.8203125</v>
      </c>
      <c r="I151" s="10">
        <v>6834927.34375</v>
      </c>
      <c r="J151" s="10"/>
      <c r="K151" s="10">
        <v>19189725.1015625</v>
      </c>
      <c r="L151" s="10"/>
      <c r="M151" s="10"/>
      <c r="N151" s="10">
        <f>SUM(F151:M151)</f>
        <v>215105957.1679907</v>
      </c>
    </row>
    <row r="152" spans="4:14" ht="15">
      <c r="D152" s="4" t="s">
        <v>461</v>
      </c>
      <c r="E152" s="308">
        <v>4916975.405624999</v>
      </c>
      <c r="F152" s="297">
        <f>+F151/N151</f>
        <v>0.8195214870999306</v>
      </c>
      <c r="G152" s="297"/>
      <c r="H152" s="297">
        <f>+H151/N151</f>
        <v>0.059493242255109595</v>
      </c>
      <c r="I152" s="297">
        <f>+I151/N151</f>
        <v>0.03177470040224012</v>
      </c>
      <c r="J152" s="297"/>
      <c r="K152" s="297">
        <f>+K151/N151</f>
        <v>0.08921057024271974</v>
      </c>
      <c r="L152" s="297"/>
      <c r="M152" s="297"/>
      <c r="N152" s="10">
        <f>SUM(F152:M152)</f>
        <v>1</v>
      </c>
    </row>
    <row r="153" spans="4:14" ht="15">
      <c r="D153" s="4" t="s">
        <v>652</v>
      </c>
      <c r="F153" s="154">
        <f>+F152*E152</f>
        <v>4029566.996451583</v>
      </c>
      <c r="H153" s="154">
        <f>+H152*E152</f>
        <v>292526.8089692638</v>
      </c>
      <c r="I153" s="154">
        <f>+I152*E152</f>
        <v>156235.42039891743</v>
      </c>
      <c r="K153" s="154">
        <f>+K152*E152</f>
        <v>438646.1798052343</v>
      </c>
      <c r="N153" s="154">
        <f>SUM(F153:M153)</f>
        <v>4916975.405624998</v>
      </c>
    </row>
    <row r="155" spans="6:7" ht="15">
      <c r="F155" s="154"/>
      <c r="G155" s="154"/>
    </row>
  </sheetData>
  <sheetProtection/>
  <printOptions/>
  <pageMargins left="0.14" right="0.5" top="0.25" bottom="0.25" header="0.3" footer="0.3"/>
  <pageSetup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JJL MillerFoundation</dc:creator>
  <cp:keywords/>
  <dc:description/>
  <cp:lastModifiedBy>JJL MillerFoundation</cp:lastModifiedBy>
  <cp:lastPrinted>2011-03-23T09:56:44Z</cp:lastPrinted>
  <dcterms:created xsi:type="dcterms:W3CDTF">2011-02-16T07:07:39Z</dcterms:created>
  <dcterms:modified xsi:type="dcterms:W3CDTF">2011-04-08T21:17:07Z</dcterms:modified>
  <cp:category/>
  <cp:version/>
  <cp:contentType/>
  <cp:contentStatus/>
</cp:coreProperties>
</file>